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ulu\Documents\"/>
    </mc:Choice>
  </mc:AlternateContent>
  <bookViews>
    <workbookView xWindow="0" yWindow="0" windowWidth="24000" windowHeight="8775" tabRatio="840" activeTab="3"/>
  </bookViews>
  <sheets>
    <sheet name="Sources and Uses of Funds" sheetId="4" r:id="rId1"/>
    <sheet name="Uses of Funds as per PIM" sheetId="8" r:id="rId2"/>
    <sheet name="EEP Statement" sheetId="10" r:id="rId3"/>
    <sheet name="DLI Statement" sheetId="9" r:id="rId4"/>
    <sheet name="AWP" sheetId="11" r:id="rId5"/>
    <sheet name="March  2025 TB &amp; Financials" sheetId="15" r:id="rId6"/>
  </sheets>
  <externalReferences>
    <externalReference r:id="rId7"/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D26" i="10" l="1"/>
  <c r="D25" i="10"/>
  <c r="D24" i="10"/>
  <c r="D23" i="10"/>
  <c r="D22" i="10"/>
  <c r="D21" i="10"/>
  <c r="D20" i="10"/>
  <c r="D19" i="10"/>
  <c r="D18" i="10"/>
  <c r="D17" i="10"/>
  <c r="E15" i="8" l="1"/>
  <c r="E23" i="8"/>
  <c r="E16" i="8"/>
  <c r="E17" i="8"/>
  <c r="E26" i="8"/>
  <c r="E27" i="8"/>
  <c r="E20" i="8"/>
  <c r="E21" i="8"/>
  <c r="E30" i="8"/>
  <c r="E14" i="8"/>
  <c r="C56" i="4"/>
  <c r="I54" i="15"/>
  <c r="C49" i="4"/>
  <c r="C50" i="4" s="1"/>
  <c r="B49" i="4" l="1"/>
  <c r="C23" i="4"/>
  <c r="C25" i="4"/>
  <c r="I33" i="15"/>
  <c r="G53" i="15"/>
  <c r="G62" i="15"/>
  <c r="G66" i="15" s="1"/>
  <c r="G58" i="15"/>
  <c r="H66" i="15"/>
  <c r="H65" i="15"/>
  <c r="H61" i="15"/>
  <c r="H55" i="15"/>
  <c r="H52" i="15"/>
  <c r="H51" i="15"/>
  <c r="H49" i="15"/>
  <c r="D66" i="15"/>
  <c r="E64" i="15"/>
  <c r="E66" i="15" s="1"/>
  <c r="C18" i="4"/>
  <c r="C16" i="4"/>
  <c r="C19" i="4" l="1"/>
  <c r="C26" i="4" s="1"/>
  <c r="B19" i="4" l="1"/>
  <c r="B26" i="4" s="1"/>
  <c r="C33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14" i="8"/>
  <c r="H64" i="15"/>
  <c r="H62" i="15"/>
  <c r="H60" i="15"/>
  <c r="H59" i="15"/>
  <c r="H58" i="15"/>
  <c r="H54" i="15"/>
  <c r="H53" i="15"/>
  <c r="G61" i="15"/>
  <c r="G57" i="15"/>
  <c r="G56" i="15"/>
  <c r="G55" i="15"/>
  <c r="G52" i="15"/>
  <c r="G51" i="15"/>
  <c r="G49" i="15"/>
  <c r="G48" i="15"/>
  <c r="H50" i="15"/>
  <c r="H47" i="15"/>
  <c r="H46" i="15"/>
  <c r="H45" i="15"/>
  <c r="H44" i="15"/>
  <c r="H43" i="15"/>
  <c r="H42" i="15"/>
  <c r="H41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7" i="15"/>
  <c r="H22" i="15"/>
  <c r="H6" i="15"/>
  <c r="H7" i="15"/>
  <c r="H5" i="15"/>
  <c r="I6" i="15" s="1"/>
  <c r="H63" i="15"/>
  <c r="E17" i="10"/>
  <c r="E18" i="10"/>
  <c r="E19" i="10"/>
  <c r="E20" i="10"/>
  <c r="E21" i="10"/>
  <c r="E22" i="10"/>
  <c r="E23" i="10"/>
  <c r="I66" i="15" l="1"/>
  <c r="F11" i="9"/>
  <c r="F15" i="9"/>
  <c r="F21" i="9" l="1"/>
  <c r="F20" i="9"/>
  <c r="F19" i="9"/>
  <c r="F18" i="9"/>
  <c r="G19" i="8" l="1"/>
  <c r="G24" i="8"/>
  <c r="G15" i="8"/>
  <c r="G16" i="8"/>
  <c r="G17" i="8"/>
  <c r="G18" i="8"/>
  <c r="G20" i="8"/>
  <c r="G21" i="8"/>
  <c r="G22" i="8"/>
  <c r="G23" i="8"/>
  <c r="G25" i="8"/>
  <c r="G26" i="8"/>
  <c r="G27" i="8"/>
  <c r="G28" i="8"/>
  <c r="G29" i="8"/>
  <c r="G30" i="8"/>
  <c r="G14" i="8"/>
  <c r="B32" i="8"/>
  <c r="C32" i="8"/>
  <c r="D32" i="8"/>
  <c r="E32" i="8"/>
  <c r="F32" i="8" l="1"/>
  <c r="G32" i="8" s="1"/>
  <c r="B30" i="10" l="1"/>
  <c r="C30" i="10"/>
  <c r="B56" i="4" l="1"/>
  <c r="E25" i="10"/>
  <c r="E26" i="10"/>
  <c r="E24" i="10"/>
  <c r="D30" i="10" l="1"/>
  <c r="E30" i="10"/>
  <c r="A94" i="11" l="1"/>
  <c r="D132" i="11"/>
  <c r="D128" i="11"/>
  <c r="D129" i="11" s="1"/>
  <c r="D127" i="11"/>
  <c r="D126" i="11"/>
  <c r="A125" i="11"/>
  <c r="D123" i="11"/>
  <c r="D121" i="11"/>
  <c r="D120" i="11"/>
  <c r="D119" i="11"/>
  <c r="D118" i="11"/>
  <c r="D117" i="11"/>
  <c r="D116" i="11"/>
  <c r="D115" i="11"/>
  <c r="D114" i="11"/>
  <c r="D113" i="11"/>
  <c r="D112" i="11"/>
  <c r="D110" i="11"/>
  <c r="D124" i="11" s="1"/>
  <c r="D109" i="11"/>
  <c r="D108" i="11"/>
  <c r="C106" i="11"/>
  <c r="C105" i="11"/>
  <c r="C104" i="11"/>
  <c r="C103" i="11"/>
  <c r="C102" i="11"/>
  <c r="C101" i="11"/>
  <c r="A100" i="11"/>
  <c r="D98" i="11"/>
  <c r="D97" i="11"/>
  <c r="D96" i="11"/>
  <c r="D95" i="11"/>
  <c r="D99" i="11" s="1"/>
  <c r="D92" i="11"/>
  <c r="D91" i="11"/>
  <c r="D90" i="11"/>
  <c r="D89" i="11"/>
  <c r="D93" i="11" s="1"/>
  <c r="A88" i="11"/>
  <c r="D86" i="11"/>
  <c r="D85" i="11"/>
  <c r="D84" i="11"/>
  <c r="D83" i="11"/>
  <c r="D87" i="11" s="1"/>
  <c r="A82" i="11"/>
  <c r="C80" i="11"/>
  <c r="D78" i="11"/>
  <c r="D77" i="11"/>
  <c r="D76" i="11"/>
  <c r="D79" i="11" s="1"/>
  <c r="A75" i="11"/>
  <c r="D73" i="11"/>
  <c r="D72" i="11"/>
  <c r="D74" i="11" s="1"/>
  <c r="A71" i="11"/>
  <c r="D69" i="11"/>
  <c r="D68" i="11"/>
  <c r="D67" i="11"/>
  <c r="D66" i="11"/>
  <c r="D70" i="11" s="1"/>
  <c r="A65" i="11"/>
  <c r="D63" i="11"/>
  <c r="D62" i="11"/>
  <c r="D61" i="11"/>
  <c r="D60" i="11"/>
  <c r="D64" i="11" s="1"/>
  <c r="D59" i="11"/>
  <c r="A58" i="11"/>
  <c r="D56" i="11"/>
  <c r="D57" i="11" s="1"/>
  <c r="D55" i="11"/>
  <c r="A54" i="11"/>
  <c r="D52" i="11"/>
  <c r="D53" i="11" s="1"/>
  <c r="D51" i="11"/>
  <c r="D50" i="11"/>
  <c r="A49" i="11"/>
  <c r="D48" i="11"/>
  <c r="C47" i="11"/>
  <c r="C46" i="11"/>
  <c r="C45" i="11"/>
  <c r="C44" i="11"/>
  <c r="A43" i="11"/>
  <c r="D42" i="11"/>
  <c r="C41" i="11"/>
  <c r="C40" i="11"/>
  <c r="C39" i="11"/>
  <c r="C38" i="11"/>
  <c r="C37" i="11"/>
  <c r="C36" i="11"/>
  <c r="C35" i="11"/>
  <c r="C34" i="11"/>
  <c r="A33" i="11"/>
  <c r="D32" i="11"/>
  <c r="D31" i="11"/>
  <c r="A30" i="11"/>
  <c r="C28" i="11"/>
  <c r="C27" i="11"/>
  <c r="C26" i="11"/>
  <c r="C25" i="11"/>
  <c r="C24" i="11"/>
  <c r="C23" i="11"/>
  <c r="D22" i="11"/>
  <c r="C21" i="11"/>
  <c r="C20" i="11"/>
  <c r="C19" i="11"/>
  <c r="D18" i="11"/>
  <c r="D17" i="11"/>
  <c r="D16" i="11"/>
  <c r="D29" i="11" s="1"/>
  <c r="A15" i="11"/>
  <c r="D12" i="11"/>
  <c r="D11" i="11"/>
  <c r="D10" i="11"/>
  <c r="D9" i="11"/>
  <c r="D8" i="11"/>
  <c r="D7" i="11"/>
  <c r="D6" i="11"/>
  <c r="D14" i="11" s="1"/>
  <c r="A4" i="11"/>
  <c r="D130" i="11" l="1"/>
  <c r="G8" i="9" l="1"/>
  <c r="G10" i="9"/>
  <c r="G11" i="9"/>
  <c r="G12" i="9"/>
  <c r="G14" i="9"/>
  <c r="G16" i="9"/>
  <c r="G17" i="9"/>
  <c r="G20" i="9"/>
  <c r="G21" i="9"/>
  <c r="G22" i="9"/>
  <c r="G23" i="9"/>
  <c r="F24" i="9"/>
  <c r="F30" i="9" s="1"/>
  <c r="G19" i="9"/>
  <c r="G18" i="9"/>
  <c r="G15" i="9"/>
  <c r="G13" i="9"/>
  <c r="E24" i="9" l="1"/>
  <c r="G24" i="9" s="1"/>
  <c r="G9" i="9"/>
  <c r="F26" i="9" l="1"/>
  <c r="B50" i="4" l="1"/>
</calcChain>
</file>

<file path=xl/sharedStrings.xml><?xml version="1.0" encoding="utf-8"?>
<sst xmlns="http://schemas.openxmlformats.org/spreadsheetml/2006/main" count="622" uniqueCount="305">
  <si>
    <t>Total</t>
  </si>
  <si>
    <t>Expenditure</t>
  </si>
  <si>
    <t>Sources of Fund</t>
  </si>
  <si>
    <t>Opening Cash Balance</t>
  </si>
  <si>
    <t>Add Receipts</t>
  </si>
  <si>
    <t>Total Financing</t>
  </si>
  <si>
    <t>Total Closing Cash Balance</t>
  </si>
  <si>
    <t>Variance</t>
  </si>
  <si>
    <t>Others</t>
  </si>
  <si>
    <t>Project</t>
  </si>
  <si>
    <t>Revised</t>
  </si>
  <si>
    <t>PAD</t>
  </si>
  <si>
    <t>Closing Balances</t>
  </si>
  <si>
    <t>Total Uses of Funds by Components</t>
  </si>
  <si>
    <t>Explanation of</t>
  </si>
  <si>
    <t xml:space="preserve">PAD /Life of </t>
  </si>
  <si>
    <t>Cummulative for</t>
  </si>
  <si>
    <t xml:space="preserve">Cummulative for  </t>
  </si>
  <si>
    <t>Statement of Sources and Uses of Funds</t>
  </si>
  <si>
    <t>World Bank IDA Funds</t>
  </si>
  <si>
    <t>Uses of Funds (Breakdown)</t>
  </si>
  <si>
    <t>AFRICA HIGHER EDUCATION CENTERS OF EXCELLENCE PROJECT</t>
  </si>
  <si>
    <t>DISBURSEMENT LINKED TO INDICATORS</t>
  </si>
  <si>
    <t>ACTIONS TO BE COMPLETED</t>
  </si>
  <si>
    <t>STATUS OF ACTIONS COMPLETION</t>
  </si>
  <si>
    <t>AMOUNT ALLOCATED</t>
  </si>
  <si>
    <t>AMOUNT DISBURSED</t>
  </si>
  <si>
    <t>UNDISBURSED BALANCE</t>
  </si>
  <si>
    <t>NOTES ANNEX</t>
  </si>
  <si>
    <t>Government Funds</t>
  </si>
  <si>
    <t>Student Fees</t>
  </si>
  <si>
    <t>Less:  ACE Expenditure as per Project Implementation Plan</t>
  </si>
  <si>
    <t>Expenditure Classification 1 as per Project Implementation Plan</t>
  </si>
  <si>
    <t>EEP 1: Salaries</t>
  </si>
  <si>
    <t>Total EEPs</t>
  </si>
  <si>
    <t>Eligible Expenditure Program (EEP)</t>
  </si>
  <si>
    <t xml:space="preserve">Statement of Reimbursable Eligible Expenditure Programs (EEPs) </t>
  </si>
  <si>
    <t>College of Medicine</t>
  </si>
  <si>
    <t>DLR 2.7 External revenue generation</t>
  </si>
  <si>
    <t>DLR 2.8 institution participating in benchmarking exercise</t>
  </si>
  <si>
    <t xml:space="preserve">DLR 3.1 Timely withdrawal applications supported by interim unaudited financial reports </t>
  </si>
  <si>
    <t xml:space="preserve">DLR 3.2 Functioning audit committee </t>
  </si>
  <si>
    <t>DLR 3.3 Functioning internal audit unit</t>
  </si>
  <si>
    <t>DLR 3.4 Transparency of financial management</t>
  </si>
  <si>
    <t>DLR 4.1 timely procurement audit reports</t>
  </si>
  <si>
    <t>DLR 4.2timely and satisfactory procurement progress report</t>
  </si>
  <si>
    <t>DLR 2.5 peer reviewed journal papers or peer reviewed conference papers prepared collaboratively with national, regional or international co authors</t>
  </si>
  <si>
    <t>DLR 2.4 partnership for collaboration in applied research and training</t>
  </si>
  <si>
    <t>DLR 2.3 Quality accrediatation for education programs</t>
  </si>
  <si>
    <t>DLR 2.1 Timely implementation of annual work plans</t>
  </si>
  <si>
    <t>DLR 1.1 Signing of the performance and funding agreements and establishing national steering committee</t>
  </si>
  <si>
    <t>DLR 2.6 faculty and PHD student exchanges to promote regional research and teraching collaborations</t>
  </si>
  <si>
    <t>DLR 2.2 Newly enrolled students in the ACE of which at least 20% must be regional African students</t>
  </si>
  <si>
    <t>AFRICA HIGHER EDUCATION CENTERS OF EXCELLENCE PROJECT (151847)</t>
  </si>
  <si>
    <t>DLR 1.2 Development of the project implementation plan</t>
  </si>
  <si>
    <t>USD</t>
  </si>
  <si>
    <t>Completion of effectiveness conditions</t>
  </si>
  <si>
    <t>Done</t>
  </si>
  <si>
    <t>Detailed implemetation plans for ACE approved by ministry in charge of higher education</t>
  </si>
  <si>
    <t xml:space="preserve">Timely execution of annual work plan </t>
  </si>
  <si>
    <t>Accreditation at National level submitted to NCHE</t>
  </si>
  <si>
    <t>To sign 6 MoUs</t>
  </si>
  <si>
    <t>8 national, 24 regional and 8 international faculty exchanged</t>
  </si>
  <si>
    <t>To enroll for benchmarking under PASET this year 2018</t>
  </si>
  <si>
    <t>Internal audit committee produces unaudited financial report</t>
  </si>
  <si>
    <t>Formation of Internal audit committee and minutes available</t>
  </si>
  <si>
    <t>Setting up financial management dissemination channels</t>
  </si>
  <si>
    <t>Produce procurement report together with finacial report</t>
  </si>
  <si>
    <t>Postings done on WB site</t>
  </si>
  <si>
    <t>EEP 2: Teaching and laboratory materials</t>
  </si>
  <si>
    <t>EEP 3: Printing and stationery</t>
  </si>
  <si>
    <t>EEP 4: Communation expenses</t>
  </si>
  <si>
    <t>EEP 6: Fuels and oils</t>
  </si>
  <si>
    <t>EEP 7: Utilities</t>
  </si>
  <si>
    <t>EEP 8: Insurance</t>
  </si>
  <si>
    <t>EEP 9: Maintenance expenses</t>
  </si>
  <si>
    <t>EEP 10: Training and staff development</t>
  </si>
  <si>
    <t>Generate $900,000</t>
  </si>
  <si>
    <t>7 faculty, 1 PhD and 2 Technical staff sent, whilst 3 came to COM (1 national and 2 international), awaiting 10 staff from RUFORUM universities</t>
  </si>
  <si>
    <t>Enrol 126MSc and 10PhD students</t>
  </si>
  <si>
    <t>All 5 programs not yet accredited</t>
  </si>
  <si>
    <t>Publish 5 papers</t>
  </si>
  <si>
    <t>60% completed</t>
  </si>
  <si>
    <t>COLLEGE OF MEDICINE (UNIVERSITY OF MALAWI)</t>
  </si>
  <si>
    <t>Actual         US$</t>
  </si>
  <si>
    <t>Planned   US$</t>
  </si>
  <si>
    <t>Variance US$</t>
  </si>
  <si>
    <t>Variance        US$</t>
  </si>
  <si>
    <t>ANNEX: DETAILED ACTIVITIES</t>
  </si>
  <si>
    <t>ACTIVITY NAME</t>
  </si>
  <si>
    <t xml:space="preserve">Quantity </t>
  </si>
  <si>
    <t>Budget USD</t>
  </si>
  <si>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</si>
  <si>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</si>
  <si>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</si>
  <si>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</si>
  <si>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</si>
  <si>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</si>
  <si>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</si>
  <si>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</si>
  <si>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</si>
  <si>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</si>
  <si>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</si>
  <si>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X</t>
  </si>
  <si>
    <t>1.1.2 Cost for accomodation</t>
  </si>
  <si>
    <t>1.1.3 Visit by ACEPHEM leaders to 2 partner institutions</t>
  </si>
  <si>
    <t>1.1.4 Meals</t>
  </si>
  <si>
    <t>1.1.5 Local transportation</t>
  </si>
  <si>
    <t>1.1.6 Resource person</t>
  </si>
  <si>
    <t>1.1.7 Workshop management</t>
  </si>
  <si>
    <t>SUB-TOTAL</t>
  </si>
  <si>
    <t xml:space="preserve">   1.2.1 Tuition support for PhD Students</t>
  </si>
  <si>
    <t xml:space="preserve">   1.2.1.1 Tuition support for Masters Students</t>
  </si>
  <si>
    <t xml:space="preserve">   1.2.2 Stipend support for Post Graduate students</t>
  </si>
  <si>
    <t xml:space="preserve">   1.2.3. Internship Support</t>
  </si>
  <si>
    <t xml:space="preserve">   1.2.4 Internship research funds support</t>
  </si>
  <si>
    <t xml:space="preserve">   1.2.4 Masters research funds support</t>
  </si>
  <si>
    <t xml:space="preserve">   1.2.4 Phd research funds support</t>
  </si>
  <si>
    <t>SUB TOTAL</t>
  </si>
  <si>
    <t>1.4.1 Training Needs assesment</t>
  </si>
  <si>
    <t>1.4.2 Refreshments</t>
  </si>
  <si>
    <t>1.4.3 Workshop management (Stationery)</t>
  </si>
  <si>
    <t>1.4.4 Facilitators allowances</t>
  </si>
  <si>
    <t>1.4.5 Per Diems for participants (Partners)</t>
  </si>
  <si>
    <t>1.4.6 Accomodation</t>
  </si>
  <si>
    <t>1.4.7 Travel for non-national delegates</t>
  </si>
  <si>
    <t>1.4.8 Travel for national delegates</t>
  </si>
  <si>
    <t>2.3.1 Vehicle maintenance and fuel</t>
  </si>
  <si>
    <t>2.4.1 Per Diems for participants (Partners)</t>
  </si>
  <si>
    <t>2.4.2 Travel costs</t>
  </si>
  <si>
    <t>2.4.3 Publication fees</t>
  </si>
  <si>
    <t>2.4.4 Paying for international conferences</t>
  </si>
  <si>
    <t>2.4.5 Research costs for staff</t>
  </si>
  <si>
    <t>3.1.1 Maintenance of ACEPHEM website</t>
  </si>
  <si>
    <t>3.1.2 High School Science Teachers training</t>
  </si>
  <si>
    <t>3.1.3 Open day</t>
  </si>
  <si>
    <t>3.1.4 Community Outreach</t>
  </si>
  <si>
    <t>3.2.1 Accomodation</t>
  </si>
  <si>
    <t>3.2.2 Travel costs</t>
  </si>
  <si>
    <t xml:space="preserve">            3.3.1 Allowances</t>
  </si>
  <si>
    <t xml:space="preserve">            3.3.2 Conference Package</t>
  </si>
  <si>
    <t xml:space="preserve">            3.3.3 Travel Cost for Local Partners</t>
  </si>
  <si>
    <t>SUB  TOTAL</t>
  </si>
  <si>
    <t>3.4 Conduct short courses (as part of external revenue generation)</t>
  </si>
  <si>
    <t>4.1.1 Travel</t>
  </si>
  <si>
    <t>4.1.2 Accomodation</t>
  </si>
  <si>
    <t>4.1.4 Meetings with partners</t>
  </si>
  <si>
    <t>4.1.5 Grant writing meetings with partner institutions</t>
  </si>
  <si>
    <t xml:space="preserve">             4.2.1 Conference Package</t>
  </si>
  <si>
    <t>4.2.2 Per diem for local partners</t>
  </si>
  <si>
    <t xml:space="preserve">4.2.3 Refreshments </t>
  </si>
  <si>
    <t>4.2.5 Travel cost and perdiems (International)</t>
  </si>
  <si>
    <t xml:space="preserve">             4.3.1 Conference Package</t>
  </si>
  <si>
    <t>4.3.2 Per diem for local partners</t>
  </si>
  <si>
    <t xml:space="preserve">4.3.3 Refreshments </t>
  </si>
  <si>
    <t>4.3.5 Travel cost for local Partners</t>
  </si>
  <si>
    <t>5.2.1 Accomodation for ISAB meeting</t>
  </si>
  <si>
    <t>5.2.1 Per diems for ISAB meeting</t>
  </si>
  <si>
    <t>5.2.3 Visa cost</t>
  </si>
  <si>
    <t>5.2.4 Local travel</t>
  </si>
  <si>
    <t>5.2.5 Conference package</t>
  </si>
  <si>
    <t>5.2.6 Travel Cost (International)</t>
  </si>
  <si>
    <t>5.2.7 Accomodation for National Steering meeting</t>
  </si>
  <si>
    <t>5.2.8 Travel for National Steering meeting</t>
  </si>
  <si>
    <t>5.2.9 Conference Package</t>
  </si>
  <si>
    <t>5.3.1 Per diem for local steering committee meeting</t>
  </si>
  <si>
    <t>5.3.2 Refreshments for local steering committee meeting</t>
  </si>
  <si>
    <t>5.3.3 Per diem for local steering committee meeting</t>
  </si>
  <si>
    <t>5.3.4 Travel cost for local steering committee meeting</t>
  </si>
  <si>
    <t>5.2.8 Per diem for sub-committee meeting</t>
  </si>
  <si>
    <t>5.2.7 Per diem for sub-committee meeting</t>
  </si>
  <si>
    <t>5.2.9 Refreshments for sub-committee meeting</t>
  </si>
  <si>
    <t>5.3.0 Travel cost for sub-committee meeting</t>
  </si>
  <si>
    <t>5.3.1 ACEPHEM members travel cost</t>
  </si>
  <si>
    <t>5.3.2 Capacity Building Workshops for ACEPHEM Staff</t>
  </si>
  <si>
    <t>5.3.1 Office furniture</t>
  </si>
  <si>
    <t>5.3.2 Communication</t>
  </si>
  <si>
    <t>5.3.3 General Office supplies</t>
  </si>
  <si>
    <t>GRAND TOTAL</t>
  </si>
  <si>
    <t>Procurement report available with financial report</t>
  </si>
  <si>
    <t>Completed and in progress for subsequent reports.</t>
  </si>
  <si>
    <t>Work is in progress as stakeholders need more time</t>
  </si>
  <si>
    <t>Cars relatively new hence maintenance costs low</t>
  </si>
  <si>
    <t xml:space="preserve">Enrolled 140 MSc and 18 PhD students </t>
  </si>
  <si>
    <t>JUNE</t>
  </si>
  <si>
    <t>1.1.1  To hold a regional consultative stakeholder meeting for curriculum development or  review (regional, international, and local partners)</t>
  </si>
  <si>
    <t>1.1.8 Accreditation fees</t>
  </si>
  <si>
    <t xml:space="preserve"> </t>
  </si>
  <si>
    <t xml:space="preserve">   1.2.5 Recruitment of students costs</t>
  </si>
  <si>
    <t xml:space="preserve">   1.2.8 Scholarship incentive: Regional PhD students each expected to publish 3 articles before     graduating</t>
  </si>
  <si>
    <t xml:space="preserve">   1.2.8 Scholarship incentive: National PhD students each expected to publish 3 articles before graduating</t>
  </si>
  <si>
    <t xml:space="preserve">   1.2.9 Regional Masters students each expected to publish at least one paper before graduating</t>
  </si>
  <si>
    <t xml:space="preserve">  1.2.10 National Masters students each expected to publish at least one paper before graduating</t>
  </si>
  <si>
    <t xml:space="preserve">  1.2.11 Communications with institutions and partners</t>
  </si>
  <si>
    <t>1.3.1 Purchasing of ODL premises</t>
  </si>
  <si>
    <t>2.1.1 Purchase of ICT equipment (Laptops, projectors and Accesories)</t>
  </si>
  <si>
    <t>2.1.2 Maintenance of heavy duty photocopier</t>
  </si>
  <si>
    <t>2.1.3 General Lab Equipment and supplies</t>
  </si>
  <si>
    <t>2.1.4 Students travels and lodging to partner institutions</t>
  </si>
  <si>
    <t>2.2.1 Salaries for ACEPHEM staff</t>
  </si>
  <si>
    <t>2.2.2 Development of Herbal Medicine research agenda</t>
  </si>
  <si>
    <t>1.2.3 Masters and PhD for Faculty</t>
  </si>
  <si>
    <t>2.3.2 Monitoring and supportive visits to partner institutions</t>
  </si>
  <si>
    <t>1.1    Existing curricula reviewed and improved</t>
  </si>
  <si>
    <t>1.2   Students recruited and supported</t>
  </si>
  <si>
    <t>1.3    Rehabilitate and upgrade teaching and learning facilities</t>
  </si>
  <si>
    <t>1.4    Professional development and short courses for special groups</t>
  </si>
  <si>
    <t>2.1   Procure general use teaching and research equipment and lab supplies</t>
  </si>
  <si>
    <t>2.2   Core team to lead public health and herbal medicine research</t>
  </si>
  <si>
    <t xml:space="preserve">2.3    Field site monitoring and support and vehicle maintenance </t>
  </si>
  <si>
    <t>2.4    Facilitating international conference presentations and manuscript publication</t>
  </si>
  <si>
    <t>3.1    Education outreach program</t>
  </si>
  <si>
    <t>3.2    Facilitating national and regional student and faculty exchange program</t>
  </si>
  <si>
    <t>4.1     International Academic Partners monitoring and support</t>
  </si>
  <si>
    <t>5.1    Project meetings conducted</t>
  </si>
  <si>
    <t xml:space="preserve">5.3     Administration offices funished and equiped   </t>
  </si>
  <si>
    <t>3.4    Conduct short courses (as part of external revenue generation)</t>
  </si>
  <si>
    <t>4.2    MOU signing and joint Implementation Planning meeting</t>
  </si>
  <si>
    <t xml:space="preserve">4.3    Partner implementation plan bi-Annual review meeting </t>
  </si>
  <si>
    <t>In Progress</t>
  </si>
  <si>
    <t>Partly procured Equipment more in progress</t>
  </si>
  <si>
    <t>3.3    Proposal development for possible funding (External revenue generation)</t>
  </si>
  <si>
    <t xml:space="preserve">                AFRICA HIGHER EDUCATION CENTERS OF EXCELLENCE PROJECT (151847))</t>
  </si>
  <si>
    <t>EEP 5: Student Welfare</t>
  </si>
  <si>
    <t>Others (Extenally generated)</t>
  </si>
  <si>
    <t>3.3 Proposal development for possible funding (External revenue generation)</t>
  </si>
  <si>
    <t>proving to be tough to recruit students hence slow Progress</t>
  </si>
  <si>
    <t>ACEPHEM</t>
  </si>
  <si>
    <t>DR</t>
  </si>
  <si>
    <t>CR</t>
  </si>
  <si>
    <t>1070 - Grants Received</t>
  </si>
  <si>
    <t>1080 - Interest - Deposits</t>
  </si>
  <si>
    <t>2050 - Superannuation Costs:</t>
  </si>
  <si>
    <t>2300 - Training &amp; Staff Development:</t>
  </si>
  <si>
    <t>2401 - Conferences &amp; Workshops:</t>
  </si>
  <si>
    <t>2402 - Printing &amp; Stationery:</t>
  </si>
  <si>
    <t>2405 - Meetings:</t>
  </si>
  <si>
    <t>2406 - Phone and Internet costs</t>
  </si>
  <si>
    <t>2500 - Electricity and Gas</t>
  </si>
  <si>
    <t>2501 - Water:</t>
  </si>
  <si>
    <t>2504 - Maintenance &amp; Repairs- Motor Vehicle,Motor Cycle,Bicycles</t>
  </si>
  <si>
    <t>2608 - Postgraduate Programmes:Fellowship Costs</t>
  </si>
  <si>
    <t>2610 - Fuels &amp; Oils:</t>
  </si>
  <si>
    <t>2612 - Subsistence Allowances:</t>
  </si>
  <si>
    <t>2615 - International Travel</t>
  </si>
  <si>
    <t>2616 - Hiring expense</t>
  </si>
  <si>
    <t>2741 - PPDA Levy Expense</t>
  </si>
  <si>
    <t>2742 - Research Admin Expense</t>
  </si>
  <si>
    <t>3003 - Special Expenses - Office Equipment:</t>
  </si>
  <si>
    <t>5550 - Cash Imprest:</t>
  </si>
  <si>
    <t>5700 - Petty Cash</t>
  </si>
  <si>
    <t>6118 - African Centre for Public Health and Herbal Medicine FCDA -</t>
  </si>
  <si>
    <t>6119 - African Centre for Public Health and Herbal Medicine Local -</t>
  </si>
  <si>
    <t>7202 - WHT Tax Payable</t>
  </si>
  <si>
    <t>9110 - General Fund/Retained Earnings:</t>
  </si>
  <si>
    <t>Period ending Sept 2024</t>
  </si>
  <si>
    <t>Financial Year End Sept 30, 2024      MK</t>
  </si>
  <si>
    <t>Financial Year End Sept 30, 2024                        US$</t>
  </si>
  <si>
    <t>C013 - Projects Blantyre</t>
  </si>
  <si>
    <t>D614 - ACEPHEM</t>
  </si>
  <si>
    <t>2000 - Salaries &amp; Wages:(Payroll Based)</t>
  </si>
  <si>
    <t>2001 - Wages/Casual Labourers and Part time(Outside Payroll)</t>
  </si>
  <si>
    <t>2005 - Allowances</t>
  </si>
  <si>
    <t>2101 - General Research and Publication costs</t>
  </si>
  <si>
    <t>2408 - Lab Supplies</t>
  </si>
  <si>
    <t>2409 - Office Supplies</t>
  </si>
  <si>
    <t>2714 - Professional Subscriptions</t>
  </si>
  <si>
    <t>2730 - Bank &amp; Finance Charges:</t>
  </si>
  <si>
    <t>3005 - Special Expenses - Computers:</t>
  </si>
  <si>
    <t>4000 - Depreciation Charge - Buildings:</t>
  </si>
  <si>
    <t>5010 - Land</t>
  </si>
  <si>
    <t>5011 - Buildings:</t>
  </si>
  <si>
    <t>5012 - Furniture &amp; Fittings:</t>
  </si>
  <si>
    <t>5013 - Office Equipment:</t>
  </si>
  <si>
    <t>5014 - Motor Vehicle</t>
  </si>
  <si>
    <t>5015 - Computers</t>
  </si>
  <si>
    <t>5016 - Laboratory Equipment:</t>
  </si>
  <si>
    <t>5100 - Accum Dpn Buildings:</t>
  </si>
  <si>
    <t>5101 - Accum Dpn Furniture &amp; Fittings:</t>
  </si>
  <si>
    <t>5102 - Accum Dpn Office Equipment:</t>
  </si>
  <si>
    <t>5103 - Accum Dpn Motor Vehicle</t>
  </si>
  <si>
    <t>5104 - Accum Dpn Computers:</t>
  </si>
  <si>
    <t>5105 - Accum Dpn Laboratory Equipment:</t>
  </si>
  <si>
    <t>5300 - Debtors  Control : Blantyre Campus</t>
  </si>
  <si>
    <t>5907 - KUHeS Lilongwe David Livingstone Clinic- A/C 2174367</t>
  </si>
  <si>
    <t>6075 - Small Grants Project FCDA USD - 230397021</t>
  </si>
  <si>
    <t>7000 - Trade Creditors Control: Blantyre Campus</t>
  </si>
  <si>
    <t>7001 - Trade Creditors Control-Lilongwe Campus</t>
  </si>
  <si>
    <t>7006 - Trade Creditors Contol-BT Projects</t>
  </si>
  <si>
    <t>7029 - Salaries Clearing BT Projects</t>
  </si>
  <si>
    <t>7204 - OUTPUT VAT  Payable</t>
  </si>
  <si>
    <t>7869 - INSURANCE PREMIUM RECOVERIES PROJECTS ACC</t>
  </si>
  <si>
    <t>7883 - ICARTA PROJECT</t>
  </si>
  <si>
    <t>9100 - Capital Funds:</t>
  </si>
  <si>
    <t>9120 - Revaluation Reserves:</t>
  </si>
  <si>
    <t>for the semi-annual period ending 31 MAR 2025</t>
  </si>
  <si>
    <t>Financial Year End Mar 2025</t>
  </si>
  <si>
    <t>for the semi-annual period ending…31 March  2025</t>
  </si>
  <si>
    <t xml:space="preserve">                     Financial Year Ending September  2024</t>
  </si>
  <si>
    <t>Period ending March 2025</t>
  </si>
  <si>
    <t>for the  period ending 31 March 2025</t>
  </si>
  <si>
    <t>Financial Year End Mar 31, 2025      MK</t>
  </si>
  <si>
    <t>Financial Year End Mar 31, 2025                        US$</t>
  </si>
  <si>
    <t>5951 - KUHeS Blantyre Salaries Account A/C 3592518:</t>
  </si>
  <si>
    <t>Trial Balance March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</si>
</sst>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\-#,##0.00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21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2" borderId="9" xfId="0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7" fillId="0" borderId="5" xfId="0" applyFont="1" applyBorder="1" applyAlignment="1">
      <alignment wrapText="1"/>
    </xf>
    <xf numFmtId="43" fontId="0" fillId="0" borderId="0" xfId="1" applyFont="1"/>
    <xf numFmtId="43" fontId="0" fillId="0" borderId="5" xfId="1" applyFont="1" applyBorder="1"/>
    <xf numFmtId="43" fontId="0" fillId="0" borderId="5" xfId="0" applyNumberFormat="1" applyBorder="1"/>
    <xf numFmtId="43" fontId="3" fillId="0" borderId="5" xfId="0" applyNumberFormat="1" applyFont="1" applyBorder="1"/>
    <xf numFmtId="0" fontId="0" fillId="0" borderId="12" xfId="0" applyBorder="1"/>
    <xf numFmtId="0" fontId="3" fillId="0" borderId="5" xfId="0" applyFont="1" applyBorder="1" applyAlignment="1">
      <alignment horizontal="left"/>
    </xf>
    <xf numFmtId="43" fontId="0" fillId="0" borderId="0" xfId="0" applyNumberFormat="1"/>
    <xf numFmtId="43" fontId="3" fillId="0" borderId="0" xfId="0" applyNumberFormat="1" applyFont="1"/>
    <xf numFmtId="0" fontId="2" fillId="0" borderId="5" xfId="0" applyFont="1" applyBorder="1" applyAlignment="1">
      <alignment wrapText="1"/>
    </xf>
    <xf numFmtId="9" fontId="2" fillId="0" borderId="5" xfId="0" applyNumberFormat="1" applyFont="1" applyBorder="1" applyAlignment="1">
      <alignment wrapText="1"/>
    </xf>
    <xf numFmtId="9" fontId="2" fillId="0" borderId="5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/>
    <xf numFmtId="0" fontId="0" fillId="0" borderId="5" xfId="0" applyBorder="1" applyAlignment="1">
      <alignment wrapText="1"/>
    </xf>
    <xf numFmtId="0" fontId="2" fillId="0" borderId="5" xfId="0" applyFont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2" fillId="0" borderId="5" xfId="5" applyFont="1" applyBorder="1"/>
    <xf numFmtId="0" fontId="2" fillId="0" borderId="0" xfId="0" applyFont="1" applyAlignment="1">
      <alignment vertical="center"/>
    </xf>
    <xf numFmtId="0" fontId="0" fillId="0" borderId="5" xfId="0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/>
    <xf numFmtId="0" fontId="3" fillId="0" borderId="12" xfId="0" applyFont="1" applyBorder="1" applyAlignment="1"/>
    <xf numFmtId="0" fontId="3" fillId="3" borderId="9" xfId="0" applyFont="1" applyFill="1" applyBorder="1"/>
    <xf numFmtId="0" fontId="0" fillId="3" borderId="3" xfId="0" applyFill="1" applyBorder="1"/>
    <xf numFmtId="0" fontId="8" fillId="3" borderId="5" xfId="0" applyFont="1" applyFill="1" applyBorder="1" applyAlignment="1">
      <alignment horizontal="center" wrapText="1"/>
    </xf>
    <xf numFmtId="43" fontId="8" fillId="3" borderId="5" xfId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5" fillId="4" borderId="1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3" xfId="0" applyFont="1" applyBorder="1"/>
    <xf numFmtId="0" fontId="2" fillId="0" borderId="9" xfId="0" applyFont="1" applyBorder="1"/>
    <xf numFmtId="0" fontId="2" fillId="0" borderId="12" xfId="0" applyFont="1" applyBorder="1"/>
    <xf numFmtId="43" fontId="2" fillId="0" borderId="5" xfId="0" applyNumberFormat="1" applyFont="1" applyBorder="1"/>
    <xf numFmtId="165" fontId="2" fillId="0" borderId="5" xfId="0" applyNumberFormat="1" applyFont="1" applyBorder="1"/>
    <xf numFmtId="0" fontId="1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18" fillId="5" borderId="14" xfId="0" applyFont="1" applyFill="1" applyBorder="1"/>
    <xf numFmtId="0" fontId="0" fillId="0" borderId="15" xfId="0" applyBorder="1"/>
    <xf numFmtId="0" fontId="0" fillId="0" borderId="16" xfId="0" applyBorder="1"/>
    <xf numFmtId="0" fontId="19" fillId="6" borderId="17" xfId="0" applyFont="1" applyFill="1" applyBorder="1"/>
    <xf numFmtId="0" fontId="19" fillId="6" borderId="18" xfId="0" applyFont="1" applyFill="1" applyBorder="1"/>
    <xf numFmtId="0" fontId="19" fillId="6" borderId="19" xfId="0" applyFont="1" applyFill="1" applyBorder="1"/>
    <xf numFmtId="0" fontId="20" fillId="0" borderId="0" xfId="0" applyFont="1"/>
    <xf numFmtId="0" fontId="20" fillId="0" borderId="13" xfId="0" applyFont="1" applyBorder="1"/>
    <xf numFmtId="0" fontId="20" fillId="0" borderId="5" xfId="0" applyFont="1" applyFill="1" applyBorder="1"/>
    <xf numFmtId="0" fontId="20" fillId="0" borderId="5" xfId="0" applyFont="1" applyBorder="1"/>
    <xf numFmtId="0" fontId="20" fillId="0" borderId="20" xfId="0" applyFont="1" applyBorder="1"/>
    <xf numFmtId="0" fontId="20" fillId="4" borderId="5" xfId="0" applyFont="1" applyFill="1" applyBorder="1"/>
    <xf numFmtId="0" fontId="20" fillId="4" borderId="20" xfId="0" applyFont="1" applyFill="1" applyBorder="1"/>
    <xf numFmtId="0" fontId="20" fillId="0" borderId="0" xfId="0" applyFont="1" applyFill="1"/>
    <xf numFmtId="0" fontId="20" fillId="0" borderId="13" xfId="0" applyFont="1" applyBorder="1" applyAlignment="1">
      <alignment horizontal="left" wrapText="1" indent="5"/>
    </xf>
    <xf numFmtId="0" fontId="22" fillId="0" borderId="5" xfId="6" applyFont="1" applyFill="1" applyBorder="1"/>
    <xf numFmtId="0" fontId="20" fillId="0" borderId="13" xfId="0" applyFont="1" applyBorder="1" applyAlignment="1">
      <alignment horizontal="left" indent="5"/>
    </xf>
    <xf numFmtId="43" fontId="20" fillId="0" borderId="5" xfId="0" applyNumberFormat="1" applyFont="1" applyBorder="1"/>
    <xf numFmtId="0" fontId="20" fillId="0" borderId="21" xfId="0" applyFont="1" applyFill="1" applyBorder="1" applyAlignment="1">
      <alignment horizontal="left" indent="5"/>
    </xf>
    <xf numFmtId="0" fontId="0" fillId="0" borderId="5" xfId="0" applyFill="1" applyBorder="1"/>
    <xf numFmtId="0" fontId="0" fillId="0" borderId="20" xfId="0" applyBorder="1"/>
    <xf numFmtId="0" fontId="20" fillId="0" borderId="20" xfId="0" applyFont="1" applyFill="1" applyBorder="1"/>
    <xf numFmtId="3" fontId="20" fillId="0" borderId="5" xfId="0" applyNumberFormat="1" applyFont="1" applyFill="1" applyBorder="1"/>
    <xf numFmtId="0" fontId="19" fillId="7" borderId="13" xfId="0" applyFont="1" applyFill="1" applyBorder="1" applyAlignment="1">
      <alignment horizontal="center" vertical="center"/>
    </xf>
    <xf numFmtId="3" fontId="20" fillId="7" borderId="5" xfId="0" applyNumberFormat="1" applyFont="1" applyFill="1" applyBorder="1"/>
    <xf numFmtId="0" fontId="20" fillId="0" borderId="5" xfId="0" applyFont="1" applyFill="1" applyBorder="1" applyAlignment="1">
      <alignment wrapText="1"/>
    </xf>
    <xf numFmtId="0" fontId="19" fillId="4" borderId="13" xfId="0" applyFont="1" applyFill="1" applyBorder="1"/>
    <xf numFmtId="0" fontId="20" fillId="0" borderId="13" xfId="0" applyFont="1" applyBorder="1" applyAlignment="1">
      <alignment horizontal="left" wrapText="1" indent="4"/>
    </xf>
    <xf numFmtId="43" fontId="20" fillId="0" borderId="5" xfId="0" applyNumberFormat="1" applyFont="1" applyFill="1" applyBorder="1"/>
    <xf numFmtId="43" fontId="20" fillId="0" borderId="5" xfId="0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horizontal="left" indent="4"/>
    </xf>
    <xf numFmtId="0" fontId="20" fillId="0" borderId="13" xfId="0" applyFont="1" applyFill="1" applyBorder="1" applyAlignment="1">
      <alignment horizontal="left" vertical="center" wrapText="1" indent="4"/>
    </xf>
    <xf numFmtId="0" fontId="19" fillId="7" borderId="5" xfId="0" applyFont="1" applyFill="1" applyBorder="1"/>
    <xf numFmtId="0" fontId="0" fillId="4" borderId="5" xfId="0" applyFill="1" applyBorder="1"/>
    <xf numFmtId="0" fontId="0" fillId="4" borderId="20" xfId="0" applyFill="1" applyBorder="1"/>
    <xf numFmtId="0" fontId="0" fillId="0" borderId="0" xfId="0" applyFill="1"/>
    <xf numFmtId="0" fontId="20" fillId="0" borderId="13" xfId="0" applyFont="1" applyFill="1" applyBorder="1" applyAlignment="1">
      <alignment horizontal="left" indent="5"/>
    </xf>
    <xf numFmtId="0" fontId="0" fillId="0" borderId="20" xfId="0" applyFill="1" applyBorder="1"/>
    <xf numFmtId="0" fontId="0" fillId="8" borderId="0" xfId="0" applyFill="1"/>
    <xf numFmtId="0" fontId="22" fillId="0" borderId="5" xfId="0" applyFont="1" applyFill="1" applyBorder="1"/>
    <xf numFmtId="0" fontId="22" fillId="0" borderId="20" xfId="0" applyFont="1" applyFill="1" applyBorder="1"/>
    <xf numFmtId="0" fontId="22" fillId="0" borderId="0" xfId="0" applyFont="1"/>
    <xf numFmtId="0" fontId="19" fillId="7" borderId="13" xfId="0" applyFont="1" applyFill="1" applyBorder="1" applyAlignment="1">
      <alignment horizontal="center"/>
    </xf>
    <xf numFmtId="0" fontId="23" fillId="7" borderId="5" xfId="0" applyFont="1" applyFill="1" applyBorder="1"/>
    <xf numFmtId="0" fontId="22" fillId="4" borderId="5" xfId="0" applyFont="1" applyFill="1" applyBorder="1"/>
    <xf numFmtId="0" fontId="22" fillId="4" borderId="20" xfId="0" applyFont="1" applyFill="1" applyBorder="1"/>
    <xf numFmtId="0" fontId="20" fillId="8" borderId="13" xfId="0" applyFont="1" applyFill="1" applyBorder="1" applyAlignment="1">
      <alignment horizontal="left" indent="5"/>
    </xf>
    <xf numFmtId="0" fontId="22" fillId="0" borderId="5" xfId="0" applyFont="1" applyBorder="1"/>
    <xf numFmtId="0" fontId="22" fillId="0" borderId="20" xfId="0" applyFont="1" applyBorder="1"/>
    <xf numFmtId="0" fontId="16" fillId="0" borderId="13" xfId="0" applyFont="1" applyBorder="1" applyAlignment="1">
      <alignment horizontal="left" vertical="center" wrapText="1" indent="5"/>
    </xf>
    <xf numFmtId="0" fontId="24" fillId="4" borderId="13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center" vertical="center" wrapText="1"/>
    </xf>
    <xf numFmtId="0" fontId="13" fillId="7" borderId="5" xfId="0" applyFont="1" applyFill="1" applyBorder="1"/>
    <xf numFmtId="0" fontId="16" fillId="0" borderId="21" xfId="0" applyFont="1" applyFill="1" applyBorder="1" applyAlignment="1">
      <alignment horizontal="left" vertical="center" wrapText="1" indent="5"/>
    </xf>
    <xf numFmtId="0" fontId="0" fillId="0" borderId="12" xfId="0" applyFill="1" applyBorder="1"/>
    <xf numFmtId="0" fontId="13" fillId="4" borderId="5" xfId="0" applyFont="1" applyFill="1" applyBorder="1"/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 indent="5"/>
    </xf>
    <xf numFmtId="0" fontId="17" fillId="7" borderId="13" xfId="0" applyFont="1" applyFill="1" applyBorder="1" applyAlignment="1">
      <alignment horizontal="center" vertical="top" wrapText="1"/>
    </xf>
    <xf numFmtId="0" fontId="17" fillId="4" borderId="13" xfId="0" applyFont="1" applyFill="1" applyBorder="1" applyAlignment="1">
      <alignment horizontal="left" vertical="top" wrapText="1"/>
    </xf>
    <xf numFmtId="0" fontId="0" fillId="0" borderId="5" xfId="0" applyFont="1" applyFill="1" applyBorder="1"/>
    <xf numFmtId="43" fontId="0" fillId="0" borderId="5" xfId="0" applyNumberFormat="1" applyFill="1" applyBorder="1"/>
    <xf numFmtId="0" fontId="0" fillId="7" borderId="5" xfId="0" applyFill="1" applyBorder="1"/>
    <xf numFmtId="0" fontId="0" fillId="7" borderId="20" xfId="0" applyFill="1" applyBorder="1"/>
    <xf numFmtId="0" fontId="17" fillId="4" borderId="13" xfId="0" applyFont="1" applyFill="1" applyBorder="1" applyAlignment="1">
      <alignment horizontal="left" vertical="center" wrapText="1"/>
    </xf>
    <xf numFmtId="0" fontId="0" fillId="4" borderId="0" xfId="0" applyFill="1"/>
    <xf numFmtId="0" fontId="17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/>
    <xf numFmtId="6" fontId="0" fillId="0" borderId="5" xfId="0" applyNumberFormat="1" applyBorder="1"/>
    <xf numFmtId="0" fontId="17" fillId="7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top" wrapText="1" indent="5"/>
    </xf>
    <xf numFmtId="18" fontId="15" fillId="4" borderId="13" xfId="0" applyNumberFormat="1" applyFont="1" applyFill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 indent="5"/>
    </xf>
    <xf numFmtId="0" fontId="0" fillId="0" borderId="11" xfId="0" applyBorder="1"/>
    <xf numFmtId="0" fontId="0" fillId="9" borderId="6" xfId="0" applyFill="1" applyBorder="1"/>
    <xf numFmtId="0" fontId="0" fillId="9" borderId="22" xfId="0" applyFill="1" applyBorder="1"/>
    <xf numFmtId="0" fontId="16" fillId="0" borderId="13" xfId="0" applyFont="1" applyBorder="1" applyAlignment="1">
      <alignment horizontal="left" vertical="center" wrapText="1" indent="4"/>
    </xf>
    <xf numFmtId="0" fontId="0" fillId="0" borderId="22" xfId="0" applyBorder="1"/>
    <xf numFmtId="0" fontId="16" fillId="0" borderId="23" xfId="0" applyFont="1" applyBorder="1" applyAlignment="1">
      <alignment horizontal="left" vertical="center" wrapText="1" indent="4"/>
    </xf>
    <xf numFmtId="0" fontId="0" fillId="0" borderId="6" xfId="0" applyFill="1" applyBorder="1"/>
    <xf numFmtId="0" fontId="17" fillId="7" borderId="21" xfId="0" applyFont="1" applyFill="1" applyBorder="1" applyAlignment="1">
      <alignment horizontal="left" vertical="center" wrapText="1" indent="4"/>
    </xf>
    <xf numFmtId="0" fontId="13" fillId="7" borderId="0" xfId="0" applyFont="1" applyFill="1" applyBorder="1"/>
    <xf numFmtId="0" fontId="0" fillId="0" borderId="24" xfId="0" applyBorder="1"/>
    <xf numFmtId="0" fontId="13" fillId="10" borderId="25" xfId="0" applyFont="1" applyFill="1" applyBorder="1" applyAlignment="1">
      <alignment horizontal="center"/>
    </xf>
    <xf numFmtId="0" fontId="0" fillId="10" borderId="26" xfId="0" applyFill="1" applyBorder="1"/>
    <xf numFmtId="0" fontId="0" fillId="10" borderId="28" xfId="0" applyFill="1" applyBorder="1"/>
    <xf numFmtId="43" fontId="2" fillId="0" borderId="5" xfId="0" applyNumberFormat="1" applyFont="1" applyBorder="1" applyAlignment="1">
      <alignment wrapText="1"/>
    </xf>
    <xf numFmtId="0" fontId="0" fillId="3" borderId="9" xfId="0" applyFill="1" applyBorder="1"/>
    <xf numFmtId="0" fontId="2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0" fillId="0" borderId="0" xfId="0" applyAlignment="1">
      <alignment vertical="top"/>
    </xf>
    <xf numFmtId="43" fontId="3" fillId="0" borderId="5" xfId="1" applyFont="1" applyBorder="1"/>
    <xf numFmtId="43" fontId="1" fillId="0" borderId="15" xfId="1" applyNumberFormat="1" applyFont="1" applyBorder="1"/>
    <xf numFmtId="43" fontId="19" fillId="6" borderId="18" xfId="1" applyNumberFormat="1" applyFont="1" applyFill="1" applyBorder="1"/>
    <xf numFmtId="43" fontId="20" fillId="0" borderId="5" xfId="1" applyNumberFormat="1" applyFont="1" applyFill="1" applyBorder="1"/>
    <xf numFmtId="43" fontId="19" fillId="4" borderId="5" xfId="1" applyNumberFormat="1" applyFont="1" applyFill="1" applyBorder="1"/>
    <xf numFmtId="164" fontId="20" fillId="0" borderId="5" xfId="0" applyNumberFormat="1" applyFont="1" applyFill="1" applyBorder="1"/>
    <xf numFmtId="164" fontId="20" fillId="0" borderId="0" xfId="0" applyNumberFormat="1" applyFont="1"/>
    <xf numFmtId="0" fontId="25" fillId="0" borderId="5" xfId="0" applyFont="1" applyFill="1" applyBorder="1"/>
    <xf numFmtId="43" fontId="19" fillId="7" borderId="5" xfId="1" applyNumberFormat="1" applyFont="1" applyFill="1" applyBorder="1"/>
    <xf numFmtId="0" fontId="20" fillId="0" borderId="13" xfId="0" applyFont="1" applyFill="1" applyBorder="1" applyAlignment="1">
      <alignment horizontal="left" wrapText="1" indent="4"/>
    </xf>
    <xf numFmtId="43" fontId="20" fillId="0" borderId="5" xfId="1" applyNumberFormat="1" applyFont="1" applyFill="1" applyBorder="1" applyAlignment="1">
      <alignment vertical="center"/>
    </xf>
    <xf numFmtId="164" fontId="20" fillId="0" borderId="5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3" fontId="20" fillId="4" borderId="5" xfId="1" applyNumberFormat="1" applyFont="1" applyFill="1" applyBorder="1"/>
    <xf numFmtId="43" fontId="19" fillId="0" borderId="5" xfId="1" applyNumberFormat="1" applyFont="1" applyFill="1" applyBorder="1"/>
    <xf numFmtId="164" fontId="0" fillId="0" borderId="5" xfId="0" applyNumberFormat="1" applyFill="1" applyBorder="1"/>
    <xf numFmtId="0" fontId="16" fillId="0" borderId="13" xfId="0" applyFont="1" applyFill="1" applyBorder="1" applyAlignment="1">
      <alignment horizontal="left" vertical="center" wrapText="1" indent="5"/>
    </xf>
    <xf numFmtId="0" fontId="1" fillId="4" borderId="5" xfId="0" applyFont="1" applyFill="1" applyBorder="1"/>
    <xf numFmtId="0" fontId="1" fillId="0" borderId="5" xfId="0" applyFont="1" applyFill="1" applyBorder="1"/>
    <xf numFmtId="43" fontId="20" fillId="9" borderId="5" xfId="1" applyNumberFormat="1" applyFont="1" applyFill="1" applyBorder="1"/>
    <xf numFmtId="43" fontId="19" fillId="7" borderId="0" xfId="1" applyNumberFormat="1" applyFont="1" applyFill="1" applyBorder="1"/>
    <xf numFmtId="43" fontId="13" fillId="10" borderId="27" xfId="1" applyNumberFormat="1" applyFont="1" applyFill="1" applyBorder="1"/>
    <xf numFmtId="43" fontId="1" fillId="0" borderId="0" xfId="1" applyNumberFormat="1" applyFont="1" applyFill="1"/>
    <xf numFmtId="43" fontId="1" fillId="0" borderId="0" xfId="1" applyNumberFormat="1" applyFont="1"/>
    <xf numFmtId="0" fontId="2" fillId="0" borderId="5" xfId="5" applyFont="1" applyBorder="1" applyAlignment="1">
      <alignment wrapText="1"/>
    </xf>
    <xf numFmtId="43" fontId="0" fillId="0" borderId="0" xfId="1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5" xfId="0" applyFill="1" applyBorder="1"/>
    <xf numFmtId="43" fontId="0" fillId="0" borderId="0" xfId="0" applyNumberFormat="1" applyAlignment="1">
      <alignment vertical="top"/>
    </xf>
    <xf numFmtId="0" fontId="11" fillId="0" borderId="5" xfId="0" applyFont="1" applyBorder="1" applyAlignment="1">
      <alignment wrapText="1"/>
    </xf>
    <xf numFmtId="43" fontId="2" fillId="0" borderId="5" xfId="1" applyFont="1" applyBorder="1" applyAlignment="1">
      <alignment horizontal="center" wrapText="1"/>
    </xf>
    <xf numFmtId="0" fontId="2" fillId="0" borderId="29" xfId="5" applyFont="1" applyBorder="1"/>
    <xf numFmtId="0" fontId="10" fillId="0" borderId="30" xfId="0" applyFont="1" applyBorder="1"/>
    <xf numFmtId="0" fontId="3" fillId="0" borderId="30" xfId="0" applyFont="1" applyBorder="1"/>
    <xf numFmtId="0" fontId="0" fillId="0" borderId="29" xfId="0" applyBorder="1"/>
    <xf numFmtId="0" fontId="0" fillId="3" borderId="5" xfId="0" applyFill="1" applyBorder="1"/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0" fontId="0" fillId="11" borderId="0" xfId="0" applyFill="1" applyAlignment="1">
      <alignment vertical="top"/>
    </xf>
    <xf numFmtId="4" fontId="0" fillId="11" borderId="0" xfId="0" applyNumberFormat="1" applyFill="1" applyAlignment="1">
      <alignment vertical="top"/>
    </xf>
    <xf numFmtId="43" fontId="0" fillId="11" borderId="0" xfId="1" applyFont="1" applyFill="1" applyAlignment="1">
      <alignment vertical="top"/>
    </xf>
  </cellXfs>
  <cellStyles count="7">
    <cellStyle name="Comma" xfId="1" builtinId="3"/>
    <cellStyle name="Comma 2" xfId="2"/>
    <cellStyle name="Comma 3" xfId="3"/>
    <cellStyle name="Hyperlink" xfId="6" builtinId="8"/>
    <cellStyle name="Normal" xfId="0" builtinId="0"/>
    <cellStyle name="Normal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EPHEM%20%20IP%20YEAR%202%202018%20version%201%20Final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EPHEM%20Annual%20Work%20Plan%2020042020.FL.EDIT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ulu/Downloads/3.%20KUHeS%20BUDGETARY%20PERFORMANCE%20&amp;%20MANAGEMENT%20ACCOUNTS%20FOR%20MARCH%202025%20WITH%20PROJECTS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1 WORKPLAN"/>
      <sheetName val="DETAILEDWORKPLAN Y1"/>
      <sheetName val="Y2 WORKPLAN"/>
      <sheetName val="YR 2 DETAILEDWORKPLAN"/>
    </sheetNames>
    <sheetDataSet>
      <sheetData sheetId="0" refreshError="1"/>
      <sheetData sheetId="1" refreshError="1"/>
      <sheetData sheetId="2" refreshError="1">
        <row r="6">
          <cell r="B6" t="str">
            <v>1.1    Existing curricula reviewed and improved</v>
          </cell>
        </row>
        <row r="7">
          <cell r="B7" t="str">
            <v>1.2   Students recruited and supported</v>
          </cell>
        </row>
        <row r="8">
          <cell r="B8" t="str">
            <v>1.3    Rehabilitate and upgrade teaching and learning facilities</v>
          </cell>
        </row>
        <row r="9">
          <cell r="B9" t="str">
            <v>1.4    Professional development and short courses for special groups</v>
          </cell>
        </row>
        <row r="11">
          <cell r="B11" t="str">
            <v>2.1   Procure general use teaching and research equipment and lab supplies</v>
          </cell>
        </row>
        <row r="12">
          <cell r="B12" t="str">
            <v>2.2   Core team to lead public health and herbal medicine research</v>
          </cell>
        </row>
        <row r="13">
          <cell r="B13" t="str">
            <v xml:space="preserve">2.3    Field site monitoring and support and vehicle maintenance </v>
          </cell>
        </row>
        <row r="14">
          <cell r="B14" t="str">
            <v>2.4    Facilitating international conference presentations and manuscript publication</v>
          </cell>
        </row>
        <row r="17">
          <cell r="B17" t="str">
            <v>3.1    Education outreach program</v>
          </cell>
        </row>
        <row r="18">
          <cell r="B18" t="str">
            <v>3.2    Facilitating national and regional student and faculty exchange program</v>
          </cell>
        </row>
        <row r="19">
          <cell r="B19" t="str">
            <v>3.3 Proposal development for possible funding (External revenue generation)</v>
          </cell>
        </row>
        <row r="22">
          <cell r="B22" t="str">
            <v>4.1     International Academic Partners monitoring and support</v>
          </cell>
        </row>
        <row r="23">
          <cell r="B23" t="str">
            <v>4.2 MOU signing and joint Implementation Planning meeting</v>
          </cell>
        </row>
        <row r="24">
          <cell r="B24" t="str">
            <v xml:space="preserve">4.3 Partner implementation plan bi-Annual review meeting </v>
          </cell>
        </row>
        <row r="26">
          <cell r="B26" t="str">
            <v>5.1    Project meetings conducted</v>
          </cell>
        </row>
        <row r="28">
          <cell r="B28" t="str">
            <v xml:space="preserve">5.3     Administration offices funished and equiped   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4 WORKPLAN"/>
      <sheetName val="YEAR 4 DETAILED PLAN"/>
      <sheetName val="Sheet1"/>
    </sheetNames>
    <sheetDataSet>
      <sheetData sheetId="0">
        <row r="28">
          <cell r="I28">
            <v>1776367</v>
          </cell>
        </row>
      </sheetData>
      <sheetData sheetId="1">
        <row r="130">
          <cell r="D130">
            <v>1776367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 Service Gratuity."/>
      <sheetName val="Budget Income- LL"/>
      <sheetName val="Exp budget - BT"/>
      <sheetName val="REMARKS (2)"/>
      <sheetName val="CONSOLIDATED"/>
      <sheetName val="Projects Trial Bal - Dec 24"/>
      <sheetName val="Projects TB - Feb 25"/>
      <sheetName val="CONSO - STAT OF FUNDS"/>
      <sheetName val="Trial Bal March 25"/>
      <sheetName val="Subvention - March 2025"/>
      <sheetName val="Projects TB - March 25"/>
      <sheetName val="Service Gratuity."/>
      <sheetName val="Service gratuity Sept 24"/>
      <sheetName val="Receivables summary - Marc 2025"/>
      <sheetName val="Recevbls -Stud Undergrad Mar25"/>
      <sheetName val="Recevbls -Stud Postgrad Mar25"/>
      <sheetName val="Recevbls - Stud LL Mar 25"/>
      <sheetName val="Recvbls - BT 2025 Undergrd "/>
      <sheetName val="Recevabls - BT  Postgrd Mar25 "/>
      <sheetName val="Students Receivables - LL Mar25"/>
      <sheetName val="Receivables Old BT "/>
      <sheetName val="Payables Summary - March 2025"/>
      <sheetName val="Payables BT - March 2025"/>
      <sheetName val="Payables LL - March 2025"/>
      <sheetName val="Payables - BT Dec 2024"/>
      <sheetName val="Payables - LL Dec 2024"/>
      <sheetName val="Payables - Other Dec 24"/>
      <sheetName val="Govt Subvention - Dec 24"/>
      <sheetName val="KUHeS Clinic - Inc Stat Mar 25"/>
      <sheetName val="KUHeS Clinic - SOFP Mar 24"/>
      <sheetName val="KUHeS Clinic - Inc stat Sept 24"/>
      <sheetName val="KUHeS Clinic - SOFP "/>
      <sheetName val="Sports Complex - SFP Dec 24"/>
      <sheetName val="Sports Complex Inc Stat Mar 25"/>
      <sheetName val="Payables Listing - BT campus"/>
      <sheetName val="Payables listing - LL Campus"/>
      <sheetName val="Subvention Sept 2024"/>
      <sheetName val="Trial Bal June 2024.."/>
      <sheetName val="Subvention Dec 24"/>
      <sheetName val="Other Incom - Funds frm Projcts"/>
      <sheetName val="SCLSAHP"/>
      <sheetName val="SON"/>
      <sheetName val="SMOH"/>
      <sheetName val="SMANER"/>
      <sheetName val="SOGPH"/>
      <sheetName val="SUPPORT"/>
      <sheetName val="Dept TB - Dec 2024"/>
      <sheetName val="Departments TB June 24."/>
      <sheetName val="CEEG"/>
      <sheetName val="ICT"/>
      <sheetName val="Construction"/>
      <sheetName val="Service Gratuity June 24"/>
      <sheetName val="Depreciation"/>
      <sheetName val="Receivables Old BT Data June 24"/>
      <sheetName val="Subvention June 2024"/>
      <sheetName val="Payables BT Dec 24"/>
      <sheetName val="Payables BT - June 2024"/>
      <sheetName val="Payables LL - June 2024"/>
      <sheetName val="Budgets alignment - 5s"/>
      <sheetName val="Exp budget - LL"/>
      <sheetName val="Budget Income - BT"/>
      <sheetName val="Budget 2025 BT"/>
      <sheetName val="Budget 2025 LL"/>
      <sheetName val="Projects - Income &amp; Expense"/>
      <sheetName val="Departments TB June 24 old"/>
      <sheetName val="Sept 23 Service gratuity"/>
      <sheetName val="BT-Stat of Comp Inc"/>
      <sheetName val="BT Stat of FP"/>
      <sheetName val="BT - Conso TB"/>
      <sheetName val="LL - Cash &amp; Bank"/>
      <sheetName val="LL Payroll JV"/>
      <sheetName val="Cost centres vs consolidation"/>
      <sheetName val="LL Project Exp"/>
      <sheetName val="LL Aged Payables"/>
      <sheetName val="BT SBUs"/>
      <sheetName val="BT Stat of Comp Inc"/>
      <sheetName val="BT KUHeS Template"/>
      <sheetName val="BT- Stat of Fin Position"/>
      <sheetName val="BT - Cashflow"/>
      <sheetName val="BT-Notes"/>
      <sheetName val="BT- Budget sum"/>
      <sheetName val="BT - Budget 2023 FY."/>
      <sheetName val="Sheet2"/>
      <sheetName val="BT - Projects Conso TB"/>
      <sheetName val="BT - Projects Financials"/>
      <sheetName val="BT Complex TB"/>
      <sheetName val="BT Complex Financials"/>
      <sheetName val="BT Clinic TB"/>
      <sheetName val="BT Clinic Financials"/>
      <sheetName val="BT Conso Financials "/>
      <sheetName val="BT SUM Budget"/>
      <sheetName val="LL-TB Dec 22"/>
      <sheetName val="LL Receivables"/>
      <sheetName val="LL Cash Dec 22"/>
      <sheetName val="LL DLMC"/>
      <sheetName val="LL Academic TB Dec 2022"/>
      <sheetName val="LL Support Services TB"/>
      <sheetName val="LL DLMC TB"/>
      <sheetName val="LL Oct - Dec 22 Proj Exp"/>
      <sheetName val="Sheet15"/>
      <sheetName val="Sheet16"/>
      <sheetName val="BT - SCLSAHP Sept22"/>
      <sheetName val="BT - MEDICINE &amp; ORAL Sept22 "/>
      <sheetName val="BT - SGPH Sept 22"/>
      <sheetName val="BT - SUPPORT Sept22"/>
      <sheetName val="BT - SBUs"/>
      <sheetName val="BT - Budget sum"/>
      <sheetName val="BT - Budget 2023 FY"/>
      <sheetName val="BT - Sept TB Main 2022"/>
      <sheetName val="BT - Sept main financials 2022"/>
      <sheetName val="BT - Projects Cons TB"/>
      <sheetName val="BT - Project Financials"/>
      <sheetName val="Complex TB"/>
      <sheetName val="BT - Complex Financials"/>
      <sheetName val="BT - Clinic TB"/>
      <sheetName val="BT - Clinic Financials"/>
      <sheetName val="BT - Conso Financials"/>
      <sheetName val="BT - SUM Budget"/>
      <sheetName val="LL - TB September 2022"/>
      <sheetName val="LL - Receivables Sept 2022"/>
      <sheetName val="LL - Cash September 2022"/>
      <sheetName val="LL - School of Nurs Sept22"/>
      <sheetName val="LL - School of MNRH Sept22"/>
      <sheetName val="LL - Academic TB June 2022 (2)"/>
      <sheetName val="LL - Support Services Sept22"/>
      <sheetName val="LL - Support Services TB"/>
      <sheetName val="LL - DLMC Sept22"/>
      <sheetName val="LL - DLMC TB SEP 22"/>
      <sheetName val="LL July - Sept Proj Expenditure"/>
      <sheetName val="Sheet29"/>
      <sheetName val="Sheet30"/>
      <sheetName val="Sheet31"/>
      <sheetName val="Sheet32"/>
      <sheetName val="Sheet33"/>
      <sheetName val="Sheet34"/>
      <sheetName val="Sheet35"/>
      <sheetName val="STATEMENT OF FUNDS"/>
      <sheetName val="Sports Complex Financials "/>
      <sheetName val="Clinic Financials"/>
      <sheetName val="SERVICE GRATUITY"/>
      <sheetName val="PREVIOUS YR LIABILITIES"/>
    </sheetNames>
    <sheetDataSet>
      <sheetData sheetId="0"/>
      <sheetData sheetId="1"/>
      <sheetData sheetId="2"/>
      <sheetData sheetId="3"/>
      <sheetData sheetId="4">
        <row r="32">
          <cell r="J32">
            <v>43491326523.757423</v>
          </cell>
        </row>
        <row r="35">
          <cell r="J35">
            <v>381079556.07000005</v>
          </cell>
        </row>
        <row r="36">
          <cell r="J36">
            <v>153603795.94</v>
          </cell>
        </row>
        <row r="37">
          <cell r="J37">
            <v>1994736.32</v>
          </cell>
        </row>
        <row r="41">
          <cell r="J41">
            <v>15892610</v>
          </cell>
        </row>
        <row r="42">
          <cell r="J42">
            <v>198969754.70999998</v>
          </cell>
        </row>
        <row r="44">
          <cell r="J44">
            <v>355170971.50999999</v>
          </cell>
        </row>
        <row r="45">
          <cell r="J45">
            <v>2796866.5900000003</v>
          </cell>
        </row>
        <row r="47">
          <cell r="J47">
            <v>814793917.36000013</v>
          </cell>
        </row>
        <row r="48">
          <cell r="J48">
            <v>710021623.12999988</v>
          </cell>
        </row>
        <row r="62">
          <cell r="J62">
            <v>251980075.83000001</v>
          </cell>
        </row>
        <row r="85">
          <cell r="J85">
            <v>1839072195.6900001</v>
          </cell>
        </row>
        <row r="93">
          <cell r="J93">
            <v>995003760.42000008</v>
          </cell>
        </row>
        <row r="98">
          <cell r="J98">
            <v>1746028927.3299999</v>
          </cell>
        </row>
        <row r="107">
          <cell r="J107">
            <v>723655161</v>
          </cell>
        </row>
        <row r="108">
          <cell r="J108">
            <v>683461308.40999997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C43" sqref="C43"/>
    </sheetView>
  </sheetViews>
  <sheetFormatPr defaultRowHeight="12.75" x14ac:dyDescent="0.2"/>
  <cols>
    <col min="1" max="1" width="71.140625" bestFit="1" customWidth="1"/>
    <col min="2" max="2" width="14.140625" bestFit="1" customWidth="1"/>
    <col min="3" max="3" width="11.28515625" bestFit="1" customWidth="1"/>
  </cols>
  <sheetData>
    <row r="1" spans="1:3" x14ac:dyDescent="0.2">
      <c r="A1" s="21"/>
      <c r="B1" s="23"/>
    </row>
    <row r="2" spans="1:3" x14ac:dyDescent="0.2">
      <c r="A2" s="218"/>
      <c r="B2" s="220"/>
    </row>
    <row r="3" spans="1:3" ht="15.75" x14ac:dyDescent="0.25">
      <c r="A3" s="221" t="s">
        <v>83</v>
      </c>
      <c r="B3" s="223"/>
    </row>
    <row r="4" spans="1:3" ht="15" x14ac:dyDescent="0.25">
      <c r="A4" s="226" t="s">
        <v>53</v>
      </c>
      <c r="B4" s="228"/>
    </row>
    <row r="5" spans="1:3" x14ac:dyDescent="0.2">
      <c r="A5" s="218" t="s">
        <v>18</v>
      </c>
      <c r="B5" s="220"/>
    </row>
    <row r="6" spans="1:3" x14ac:dyDescent="0.2">
      <c r="A6" s="224" t="s">
        <v>295</v>
      </c>
      <c r="B6" s="225"/>
    </row>
    <row r="8" spans="1:3" x14ac:dyDescent="0.2">
      <c r="A8" s="2"/>
      <c r="B8" s="48"/>
      <c r="C8" s="1"/>
    </row>
    <row r="9" spans="1:3" ht="15.75" x14ac:dyDescent="0.25">
      <c r="A9" s="5"/>
      <c r="B9" s="65"/>
      <c r="C9" s="66" t="s">
        <v>17</v>
      </c>
    </row>
    <row r="10" spans="1:3" ht="45" customHeight="1" x14ac:dyDescent="0.25">
      <c r="A10" s="14" t="s">
        <v>2</v>
      </c>
      <c r="B10" s="67" t="s">
        <v>255</v>
      </c>
      <c r="C10" s="68" t="s">
        <v>296</v>
      </c>
    </row>
    <row r="11" spans="1:3" x14ac:dyDescent="0.2">
      <c r="A11" s="11"/>
      <c r="B11" s="51"/>
      <c r="C11" s="1"/>
    </row>
    <row r="12" spans="1:3" x14ac:dyDescent="0.2">
      <c r="A12" s="8"/>
      <c r="B12" s="235" t="s">
        <v>55</v>
      </c>
      <c r="C12" s="6"/>
    </row>
    <row r="13" spans="1:3" x14ac:dyDescent="0.2">
      <c r="A13" s="13" t="s">
        <v>3</v>
      </c>
      <c r="B13" s="33"/>
      <c r="C13" s="6"/>
    </row>
    <row r="14" spans="1:3" x14ac:dyDescent="0.2">
      <c r="A14" s="3"/>
      <c r="B14" s="6"/>
      <c r="C14" s="6"/>
    </row>
    <row r="15" spans="1:3" x14ac:dyDescent="0.2">
      <c r="A15" s="17" t="s">
        <v>29</v>
      </c>
      <c r="B15" s="6"/>
      <c r="C15" s="6"/>
    </row>
    <row r="16" spans="1:3" x14ac:dyDescent="0.2">
      <c r="A16" s="3" t="s">
        <v>19</v>
      </c>
      <c r="B16" s="33">
        <v>214912.9</v>
      </c>
      <c r="C16" s="32">
        <f>B53</f>
        <v>451521.1</v>
      </c>
    </row>
    <row r="17" spans="1:3" x14ac:dyDescent="0.2">
      <c r="A17" s="3" t="s">
        <v>30</v>
      </c>
      <c r="B17" s="6"/>
      <c r="C17" s="32"/>
    </row>
    <row r="18" spans="1:3" ht="13.5" thickBot="1" x14ac:dyDescent="0.25">
      <c r="A18" s="3" t="s">
        <v>8</v>
      </c>
      <c r="B18" s="33">
        <v>247630.57876415917</v>
      </c>
      <c r="C18" s="32">
        <f>B55</f>
        <v>284202.63</v>
      </c>
    </row>
    <row r="19" spans="1:3" ht="13.5" thickBot="1" x14ac:dyDescent="0.25">
      <c r="A19" s="15" t="s">
        <v>0</v>
      </c>
      <c r="B19" s="33">
        <f>SUM(B16:B18)</f>
        <v>462543.47876415914</v>
      </c>
      <c r="C19" s="32">
        <f>SUM(C16:C18)</f>
        <v>735723.73</v>
      </c>
    </row>
    <row r="20" spans="1:3" x14ac:dyDescent="0.2">
      <c r="A20" s="171"/>
      <c r="B20" s="215"/>
      <c r="C20" s="6"/>
    </row>
    <row r="21" spans="1:3" x14ac:dyDescent="0.2">
      <c r="A21" s="13" t="s">
        <v>4</v>
      </c>
      <c r="B21" s="6"/>
      <c r="C21" s="6"/>
    </row>
    <row r="22" spans="1:3" x14ac:dyDescent="0.2">
      <c r="A22" s="17" t="s">
        <v>29</v>
      </c>
      <c r="B22" s="6"/>
      <c r="C22" s="6"/>
    </row>
    <row r="23" spans="1:3" x14ac:dyDescent="0.2">
      <c r="A23" s="3" t="s">
        <v>19</v>
      </c>
      <c r="B23" s="33">
        <v>403845.75</v>
      </c>
      <c r="C23" s="6">
        <f>0</f>
        <v>0</v>
      </c>
    </row>
    <row r="24" spans="1:3" x14ac:dyDescent="0.2">
      <c r="A24" s="3" t="s">
        <v>30</v>
      </c>
      <c r="B24" s="6"/>
      <c r="C24" s="6"/>
    </row>
    <row r="25" spans="1:3" ht="13.5" thickBot="1" x14ac:dyDescent="0.25">
      <c r="A25" s="3" t="s">
        <v>8</v>
      </c>
      <c r="B25" s="32">
        <v>100244.01</v>
      </c>
      <c r="C25" s="32">
        <f>36486.25</f>
        <v>36486.25</v>
      </c>
    </row>
    <row r="26" spans="1:3" ht="13.5" thickBot="1" x14ac:dyDescent="0.25">
      <c r="A26" s="15" t="s">
        <v>5</v>
      </c>
      <c r="B26" s="34">
        <f>B25+B19+B23</f>
        <v>966633.23876415915</v>
      </c>
      <c r="C26" s="34">
        <f>C25+C19+C23</f>
        <v>772209.98</v>
      </c>
    </row>
    <row r="27" spans="1:3" x14ac:dyDescent="0.2">
      <c r="A27" s="61"/>
      <c r="B27" s="215"/>
      <c r="C27" s="33"/>
    </row>
    <row r="28" spans="1:3" x14ac:dyDescent="0.2">
      <c r="A28" s="13" t="s">
        <v>31</v>
      </c>
      <c r="B28" s="6"/>
      <c r="C28" s="6"/>
    </row>
    <row r="29" spans="1:3" x14ac:dyDescent="0.2">
      <c r="A29" s="3"/>
      <c r="B29" s="6"/>
      <c r="C29" s="6"/>
    </row>
    <row r="30" spans="1:3" x14ac:dyDescent="0.2">
      <c r="A30" s="211" t="s">
        <v>203</v>
      </c>
      <c r="B30" s="33">
        <v>39750</v>
      </c>
      <c r="C30" s="33">
        <v>49875</v>
      </c>
    </row>
    <row r="31" spans="1:3" x14ac:dyDescent="0.2">
      <c r="A31" s="211" t="s">
        <v>204</v>
      </c>
      <c r="B31" s="33">
        <v>8362.8972462346865</v>
      </c>
      <c r="C31" s="33">
        <v>82899.75</v>
      </c>
    </row>
    <row r="32" spans="1:3" x14ac:dyDescent="0.2">
      <c r="A32" s="211" t="s">
        <v>205</v>
      </c>
      <c r="B32" s="33">
        <v>13337.542790301697</v>
      </c>
      <c r="C32" s="33">
        <v>81401</v>
      </c>
    </row>
    <row r="33" spans="1:3" x14ac:dyDescent="0.2">
      <c r="A33" s="211" t="s">
        <v>206</v>
      </c>
      <c r="B33" s="33">
        <v>3968.3837367756178</v>
      </c>
      <c r="C33" s="33">
        <v>39710</v>
      </c>
    </row>
    <row r="34" spans="1:3" x14ac:dyDescent="0.2">
      <c r="A34" s="211" t="s">
        <v>207</v>
      </c>
      <c r="B34" s="33">
        <v>11810.247271176531</v>
      </c>
      <c r="C34" s="33">
        <v>49521</v>
      </c>
    </row>
    <row r="35" spans="1:3" x14ac:dyDescent="0.2">
      <c r="A35" s="211" t="s">
        <v>208</v>
      </c>
      <c r="B35" s="32">
        <v>25641</v>
      </c>
      <c r="C35" s="33">
        <v>1410</v>
      </c>
    </row>
    <row r="36" spans="1:3" x14ac:dyDescent="0.2">
      <c r="A36" s="211" t="s">
        <v>209</v>
      </c>
      <c r="B36" s="33">
        <v>7264.7710711289255</v>
      </c>
      <c r="C36" s="33">
        <v>10941.76392851608</v>
      </c>
    </row>
    <row r="37" spans="1:3" x14ac:dyDescent="0.2">
      <c r="A37" s="211" t="s">
        <v>210</v>
      </c>
      <c r="B37" s="33">
        <v>26022.453444950559</v>
      </c>
      <c r="C37" s="33">
        <v>26173.563704512424</v>
      </c>
    </row>
    <row r="38" spans="1:3" x14ac:dyDescent="0.2">
      <c r="A38" s="211" t="s">
        <v>211</v>
      </c>
      <c r="B38" s="33">
        <v>7880.00000346054</v>
      </c>
      <c r="C38" s="33">
        <v>11451</v>
      </c>
    </row>
    <row r="39" spans="1:3" x14ac:dyDescent="0.2">
      <c r="A39" s="211" t="s">
        <v>212</v>
      </c>
      <c r="B39" s="33">
        <v>1181.7399054453506</v>
      </c>
      <c r="C39" s="33">
        <v>21010</v>
      </c>
    </row>
    <row r="40" spans="1:3" x14ac:dyDescent="0.2">
      <c r="A40" s="211" t="s">
        <v>221</v>
      </c>
      <c r="B40" s="33">
        <v>30086.821466631194</v>
      </c>
      <c r="C40" s="33">
        <v>4941</v>
      </c>
    </row>
    <row r="41" spans="1:3" x14ac:dyDescent="0.2">
      <c r="A41" s="211" t="s">
        <v>216</v>
      </c>
      <c r="B41" s="33">
        <v>11429.530163020863</v>
      </c>
      <c r="C41" s="33">
        <v>2050</v>
      </c>
    </row>
    <row r="42" spans="1:3" x14ac:dyDescent="0.2">
      <c r="A42" s="211" t="s">
        <v>213</v>
      </c>
      <c r="B42" s="33">
        <v>15434.361538678488</v>
      </c>
      <c r="C42" s="33">
        <v>2100.1</v>
      </c>
    </row>
    <row r="43" spans="1:3" x14ac:dyDescent="0.2">
      <c r="A43" s="211" t="s">
        <v>217</v>
      </c>
      <c r="B43" s="33">
        <v>6934.3108821361311</v>
      </c>
      <c r="C43" s="33">
        <v>0</v>
      </c>
    </row>
    <row r="44" spans="1:3" x14ac:dyDescent="0.2">
      <c r="A44" s="211" t="s">
        <v>218</v>
      </c>
      <c r="B44" s="33">
        <v>14007.997660444056</v>
      </c>
      <c r="C44" s="33">
        <v>1457</v>
      </c>
    </row>
    <row r="45" spans="1:3" x14ac:dyDescent="0.2">
      <c r="A45" s="211" t="s">
        <v>214</v>
      </c>
      <c r="B45" s="33">
        <v>7797.4529039210402</v>
      </c>
      <c r="C45" s="33">
        <v>2610</v>
      </c>
    </row>
    <row r="46" spans="1:3" x14ac:dyDescent="0.2">
      <c r="A46" s="211" t="s">
        <v>215</v>
      </c>
      <c r="B46" s="6"/>
      <c r="C46" s="33">
        <v>0</v>
      </c>
    </row>
    <row r="47" spans="1:3" ht="15.75" x14ac:dyDescent="0.25">
      <c r="A47" s="212"/>
      <c r="B47" s="6"/>
      <c r="C47" s="6"/>
    </row>
    <row r="48" spans="1:3" x14ac:dyDescent="0.2">
      <c r="A48" s="213"/>
      <c r="B48" s="6"/>
      <c r="C48" s="6"/>
    </row>
    <row r="49" spans="1:3" ht="13.5" thickBot="1" x14ac:dyDescent="0.25">
      <c r="A49" s="16" t="s">
        <v>13</v>
      </c>
      <c r="B49" s="34">
        <f>SUM(B30:B48)</f>
        <v>230909.51008430569</v>
      </c>
      <c r="C49" s="34">
        <f>SUM(C30:C48)</f>
        <v>387551.17763302848</v>
      </c>
    </row>
    <row r="50" spans="1:3" ht="13.5" thickBot="1" x14ac:dyDescent="0.25">
      <c r="A50" s="15" t="s">
        <v>12</v>
      </c>
      <c r="B50" s="34">
        <f>B26-B49</f>
        <v>735723.72867985349</v>
      </c>
      <c r="C50" s="34">
        <f>C26-C49</f>
        <v>384658.8023669715</v>
      </c>
    </row>
    <row r="51" spans="1:3" x14ac:dyDescent="0.2">
      <c r="A51" s="214"/>
      <c r="B51" s="6"/>
      <c r="C51" s="33"/>
    </row>
    <row r="52" spans="1:3" x14ac:dyDescent="0.2">
      <c r="A52" s="17" t="s">
        <v>29</v>
      </c>
      <c r="B52" s="6"/>
      <c r="C52" s="33"/>
    </row>
    <row r="53" spans="1:3" x14ac:dyDescent="0.2">
      <c r="A53" s="3" t="s">
        <v>19</v>
      </c>
      <c r="B53" s="32">
        <v>451521.1</v>
      </c>
      <c r="C53" s="32">
        <v>355118.8</v>
      </c>
    </row>
    <row r="54" spans="1:3" x14ac:dyDescent="0.2">
      <c r="A54" s="3" t="s">
        <v>30</v>
      </c>
      <c r="B54" s="32"/>
      <c r="C54" s="32"/>
    </row>
    <row r="55" spans="1:3" ht="13.5" thickBot="1" x14ac:dyDescent="0.25">
      <c r="A55" s="3" t="s">
        <v>224</v>
      </c>
      <c r="B55" s="32">
        <v>284202.63</v>
      </c>
      <c r="C55" s="32">
        <v>29540</v>
      </c>
    </row>
    <row r="56" spans="1:3" ht="13.5" thickBot="1" x14ac:dyDescent="0.25">
      <c r="A56" s="15" t="s">
        <v>6</v>
      </c>
      <c r="B56" s="175">
        <f>SUM(B53:B55)</f>
        <v>735723.73</v>
      </c>
      <c r="C56" s="32">
        <f>SUM(C53:C55)</f>
        <v>384658.8</v>
      </c>
    </row>
    <row r="57" spans="1:3" x14ac:dyDescent="0.2">
      <c r="A57" s="3"/>
      <c r="B57" s="33"/>
      <c r="C57" s="6"/>
    </row>
    <row r="58" spans="1:3" x14ac:dyDescent="0.2">
      <c r="A58" s="9"/>
      <c r="B58" s="207"/>
      <c r="C58" s="33"/>
    </row>
    <row r="59" spans="1:3" x14ac:dyDescent="0.2">
      <c r="B59" s="37"/>
    </row>
    <row r="60" spans="1:3" x14ac:dyDescent="0.2">
      <c r="B60" s="37"/>
    </row>
    <row r="61" spans="1:3" x14ac:dyDescent="0.2">
      <c r="B61" s="37"/>
    </row>
    <row r="62" spans="1:3" x14ac:dyDescent="0.2">
      <c r="B62" s="37"/>
    </row>
  </sheetData>
  <mergeCells count="5">
    <mergeCell ref="A2:B2"/>
    <mergeCell ref="A3:B3"/>
    <mergeCell ref="A5:B5"/>
    <mergeCell ref="A6:B6"/>
    <mergeCell ref="A4:B4"/>
  </mergeCells>
  <phoneticPr fontId="0" type="noConversion"/>
  <pageMargins left="0.57999999999999996" right="0.47" top="0.63" bottom="0.66" header="0.31" footer="0.38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9" workbookViewId="0">
      <selection activeCell="E15" sqref="E15"/>
    </sheetView>
  </sheetViews>
  <sheetFormatPr defaultRowHeight="12.75" x14ac:dyDescent="0.2"/>
  <cols>
    <col min="1" max="1" width="50" customWidth="1"/>
    <col min="2" max="2" width="11.28515625" customWidth="1"/>
    <col min="3" max="3" width="13.140625" bestFit="1" customWidth="1"/>
    <col min="4" max="7" width="16.7109375" customWidth="1"/>
    <col min="8" max="8" width="18.42578125" customWidth="1"/>
    <col min="9" max="9" width="13.7109375" bestFit="1" customWidth="1"/>
    <col min="10" max="10" width="8.42578125" bestFit="1" customWidth="1"/>
  </cols>
  <sheetData>
    <row r="1" spans="1:10" x14ac:dyDescent="0.2">
      <c r="A1" s="232"/>
      <c r="B1" s="232"/>
      <c r="C1" s="232"/>
      <c r="D1" s="232"/>
      <c r="E1" s="232"/>
      <c r="F1" s="232"/>
      <c r="G1" s="232"/>
      <c r="H1" s="232"/>
    </row>
    <row r="2" spans="1:10" ht="15" x14ac:dyDescent="0.25">
      <c r="A2" s="233" t="s">
        <v>37</v>
      </c>
      <c r="B2" s="233"/>
      <c r="C2" s="233"/>
      <c r="D2" s="233"/>
      <c r="E2" s="233"/>
      <c r="F2" s="233"/>
      <c r="G2" s="233"/>
      <c r="H2" s="233"/>
    </row>
    <row r="3" spans="1:10" ht="15" x14ac:dyDescent="0.25">
      <c r="A3" s="234" t="s">
        <v>21</v>
      </c>
      <c r="B3" s="234"/>
      <c r="C3" s="234"/>
      <c r="D3" s="234"/>
      <c r="E3" s="234"/>
      <c r="F3" s="234"/>
      <c r="G3" s="234"/>
      <c r="H3" s="234"/>
    </row>
    <row r="4" spans="1:10" x14ac:dyDescent="0.2">
      <c r="A4" s="232" t="s">
        <v>20</v>
      </c>
      <c r="B4" s="232"/>
      <c r="C4" s="232"/>
      <c r="D4" s="232"/>
      <c r="E4" s="232"/>
      <c r="F4" s="232"/>
      <c r="G4" s="232"/>
      <c r="H4" s="232"/>
    </row>
    <row r="5" spans="1:10" x14ac:dyDescent="0.2">
      <c r="A5" s="232" t="s">
        <v>297</v>
      </c>
      <c r="B5" s="232"/>
      <c r="C5" s="232"/>
      <c r="D5" s="232"/>
      <c r="E5" s="232"/>
      <c r="F5" s="232"/>
      <c r="G5" s="232"/>
      <c r="H5" s="232"/>
    </row>
    <row r="7" spans="1:10" x14ac:dyDescent="0.2">
      <c r="H7" s="10"/>
    </row>
    <row r="9" spans="1:10" ht="15.75" x14ac:dyDescent="0.25">
      <c r="A9" s="20"/>
      <c r="B9" s="229"/>
      <c r="C9" s="230"/>
      <c r="D9" s="231"/>
      <c r="E9" s="206"/>
      <c r="F9" s="206"/>
      <c r="G9" s="206"/>
      <c r="H9" s="18"/>
      <c r="I9" s="70"/>
      <c r="J9" s="70"/>
    </row>
    <row r="10" spans="1:10" ht="15.75" x14ac:dyDescent="0.25">
      <c r="A10" s="55" t="s">
        <v>1</v>
      </c>
      <c r="B10" s="218" t="s">
        <v>16</v>
      </c>
      <c r="C10" s="219"/>
      <c r="D10" s="220"/>
      <c r="F10" s="202" t="s">
        <v>299</v>
      </c>
      <c r="G10" s="202"/>
      <c r="H10" s="57" t="s">
        <v>14</v>
      </c>
      <c r="I10" s="71" t="s">
        <v>15</v>
      </c>
      <c r="J10" s="71" t="s">
        <v>10</v>
      </c>
    </row>
    <row r="11" spans="1:10" ht="15.75" x14ac:dyDescent="0.25">
      <c r="A11" s="11"/>
      <c r="B11" s="55"/>
      <c r="C11" s="56" t="s">
        <v>298</v>
      </c>
      <c r="D11" s="77"/>
      <c r="E11" s="77"/>
      <c r="F11" s="77"/>
      <c r="G11" s="77"/>
      <c r="H11" s="57" t="s">
        <v>7</v>
      </c>
      <c r="I11" s="71" t="s">
        <v>9</v>
      </c>
      <c r="J11" s="71" t="s">
        <v>11</v>
      </c>
    </row>
    <row r="12" spans="1:10" ht="26.25" x14ac:dyDescent="0.25">
      <c r="A12" s="73"/>
      <c r="B12" s="49" t="s">
        <v>84</v>
      </c>
      <c r="C12" s="78" t="s">
        <v>85</v>
      </c>
      <c r="D12" s="79" t="s">
        <v>87</v>
      </c>
      <c r="E12" s="79" t="s">
        <v>84</v>
      </c>
      <c r="F12" s="79" t="s">
        <v>85</v>
      </c>
      <c r="G12" s="79" t="s">
        <v>86</v>
      </c>
      <c r="H12" s="80"/>
      <c r="I12" s="72"/>
      <c r="J12" s="72"/>
    </row>
    <row r="13" spans="1:10" x14ac:dyDescent="0.2">
      <c r="A13" s="36" t="s">
        <v>32</v>
      </c>
      <c r="B13" s="74"/>
      <c r="C13" s="74"/>
      <c r="D13" s="74"/>
      <c r="E13" s="74"/>
      <c r="F13" s="74"/>
      <c r="G13" s="74"/>
      <c r="H13" s="74"/>
      <c r="I13" s="35"/>
    </row>
    <row r="14" spans="1:10" ht="38.25" x14ac:dyDescent="0.2">
      <c r="A14" s="52" t="s">
        <v>203</v>
      </c>
      <c r="B14" s="76">
        <v>39750</v>
      </c>
      <c r="C14" s="75">
        <v>98114</v>
      </c>
      <c r="D14" s="170">
        <v>58364</v>
      </c>
      <c r="E14" s="170">
        <f>'Sources and Uses of Funds'!C30</f>
        <v>49875</v>
      </c>
      <c r="F14" s="170">
        <f>C14-B14</f>
        <v>58364</v>
      </c>
      <c r="G14" s="170">
        <f>F14-E14</f>
        <v>8489</v>
      </c>
      <c r="H14" s="172" t="s">
        <v>181</v>
      </c>
      <c r="I14" s="6"/>
    </row>
    <row r="15" spans="1:10" ht="51" x14ac:dyDescent="0.2">
      <c r="A15" s="52" t="s">
        <v>204</v>
      </c>
      <c r="B15" s="76">
        <v>54937.87724623469</v>
      </c>
      <c r="C15" s="75">
        <v>529107</v>
      </c>
      <c r="D15" s="170">
        <v>474169.12275376532</v>
      </c>
      <c r="E15" s="170">
        <f>82899.75</f>
        <v>82899.75</v>
      </c>
      <c r="F15" s="170">
        <f t="shared" ref="F15:F30" si="0">C15-B15</f>
        <v>474169.12275376532</v>
      </c>
      <c r="G15" s="170">
        <f t="shared" ref="G15:G30" si="1">F15-E15</f>
        <v>391269.37275376532</v>
      </c>
      <c r="H15" s="210" t="s">
        <v>226</v>
      </c>
      <c r="I15" s="6"/>
    </row>
    <row r="16" spans="1:10" ht="26.25" x14ac:dyDescent="0.25">
      <c r="A16" s="199" t="s">
        <v>205</v>
      </c>
      <c r="B16" s="76">
        <v>13337.542790301697</v>
      </c>
      <c r="C16" s="75">
        <v>103958.74185251835</v>
      </c>
      <c r="D16" s="170">
        <v>90621.199062216649</v>
      </c>
      <c r="E16" s="170">
        <f>81401</f>
        <v>81401</v>
      </c>
      <c r="F16" s="170">
        <f t="shared" si="0"/>
        <v>90621.199062216649</v>
      </c>
      <c r="G16" s="170">
        <f t="shared" si="1"/>
        <v>9220.1990622166486</v>
      </c>
      <c r="H16" s="173" t="s">
        <v>57</v>
      </c>
      <c r="I16" s="6"/>
    </row>
    <row r="17" spans="1:9" ht="38.25" x14ac:dyDescent="0.2">
      <c r="A17" s="199" t="s">
        <v>206</v>
      </c>
      <c r="B17" s="76">
        <v>3968.3837367756178</v>
      </c>
      <c r="C17" s="75">
        <v>55650</v>
      </c>
      <c r="D17" s="170">
        <v>51681.61626322438</v>
      </c>
      <c r="E17" s="170">
        <f>39710</f>
        <v>39710</v>
      </c>
      <c r="F17" s="170">
        <f t="shared" si="0"/>
        <v>51681.61626322438</v>
      </c>
      <c r="G17" s="170">
        <f t="shared" si="1"/>
        <v>11971.61626322438</v>
      </c>
      <c r="H17" s="172" t="s">
        <v>181</v>
      </c>
      <c r="I17" s="6"/>
    </row>
    <row r="18" spans="1:9" ht="38.25" x14ac:dyDescent="0.2">
      <c r="A18" s="199" t="s">
        <v>207</v>
      </c>
      <c r="B18" s="76">
        <v>11810.247271176531</v>
      </c>
      <c r="C18" s="75">
        <v>64862</v>
      </c>
      <c r="D18" s="170">
        <v>53051.752728823471</v>
      </c>
      <c r="E18" s="170">
        <v>49521</v>
      </c>
      <c r="F18" s="170">
        <f t="shared" si="0"/>
        <v>53051.752728823471</v>
      </c>
      <c r="G18" s="170">
        <f t="shared" si="1"/>
        <v>3530.7527288234705</v>
      </c>
      <c r="H18" s="172" t="s">
        <v>220</v>
      </c>
      <c r="I18" s="6"/>
    </row>
    <row r="19" spans="1:9" ht="38.25" x14ac:dyDescent="0.2">
      <c r="A19" s="199" t="s">
        <v>208</v>
      </c>
      <c r="B19" s="76">
        <v>3690</v>
      </c>
      <c r="C19" s="75">
        <v>5192.42</v>
      </c>
      <c r="D19" s="170">
        <v>1502.42</v>
      </c>
      <c r="E19" s="170">
        <v>1410</v>
      </c>
      <c r="F19" s="170">
        <f t="shared" si="0"/>
        <v>1502.42</v>
      </c>
      <c r="G19" s="170">
        <f t="shared" si="1"/>
        <v>92.420000000000073</v>
      </c>
      <c r="H19" s="172" t="s">
        <v>181</v>
      </c>
      <c r="I19" s="6"/>
    </row>
    <row r="20" spans="1:9" ht="38.25" x14ac:dyDescent="0.2">
      <c r="A20" s="199" t="s">
        <v>209</v>
      </c>
      <c r="B20" s="76">
        <v>7264.7710711289255</v>
      </c>
      <c r="C20" s="75">
        <v>21841</v>
      </c>
      <c r="D20" s="170">
        <v>14576.228928871074</v>
      </c>
      <c r="E20" s="170">
        <f>'Sources and Uses of Funds'!C36</f>
        <v>10941.76392851608</v>
      </c>
      <c r="F20" s="170">
        <f t="shared" si="0"/>
        <v>14576.228928871074</v>
      </c>
      <c r="G20" s="170">
        <f t="shared" si="1"/>
        <v>3634.4650003549941</v>
      </c>
      <c r="H20" s="39" t="s">
        <v>182</v>
      </c>
      <c r="I20" s="6"/>
    </row>
    <row r="21" spans="1:9" ht="38.25" x14ac:dyDescent="0.2">
      <c r="A21" s="199" t="s">
        <v>210</v>
      </c>
      <c r="B21" s="76">
        <v>26022.453444950559</v>
      </c>
      <c r="C21" s="75">
        <v>54222.553209065714</v>
      </c>
      <c r="D21" s="170">
        <v>28200.099764115155</v>
      </c>
      <c r="E21" s="170">
        <f>'Sources and Uses of Funds'!C37</f>
        <v>26173.563704512424</v>
      </c>
      <c r="F21" s="170">
        <f t="shared" si="0"/>
        <v>28200.099764115155</v>
      </c>
      <c r="G21" s="170">
        <f t="shared" si="1"/>
        <v>2026.5360596027313</v>
      </c>
      <c r="H21" s="172" t="s">
        <v>181</v>
      </c>
      <c r="I21" s="6"/>
    </row>
    <row r="22" spans="1:9" x14ac:dyDescent="0.2">
      <c r="A22" s="52" t="s">
        <v>211</v>
      </c>
      <c r="B22" s="76">
        <v>7880.00000346054</v>
      </c>
      <c r="C22" s="75">
        <v>23584</v>
      </c>
      <c r="D22" s="170">
        <v>15703.99999653946</v>
      </c>
      <c r="E22" s="170">
        <v>11451</v>
      </c>
      <c r="F22" s="170">
        <f t="shared" si="0"/>
        <v>15703.99999653946</v>
      </c>
      <c r="G22" s="170">
        <f t="shared" si="1"/>
        <v>4252.99999653946</v>
      </c>
      <c r="H22" s="44" t="s">
        <v>219</v>
      </c>
      <c r="I22" s="6"/>
    </row>
    <row r="23" spans="1:9" ht="25.5" x14ac:dyDescent="0.2">
      <c r="A23" s="199" t="s">
        <v>212</v>
      </c>
      <c r="B23" s="76">
        <v>1181.7399054453506</v>
      </c>
      <c r="C23" s="75">
        <v>23656</v>
      </c>
      <c r="D23" s="170">
        <v>22474.260094554651</v>
      </c>
      <c r="E23" s="170">
        <f>21010</f>
        <v>21010</v>
      </c>
      <c r="F23" s="170">
        <f t="shared" si="0"/>
        <v>22474.260094554651</v>
      </c>
      <c r="G23" s="170">
        <f t="shared" si="1"/>
        <v>1464.260094554651</v>
      </c>
      <c r="H23" s="39" t="s">
        <v>219</v>
      </c>
      <c r="I23" s="6"/>
    </row>
    <row r="24" spans="1:9" ht="25.5" x14ac:dyDescent="0.2">
      <c r="A24" s="199" t="s">
        <v>225</v>
      </c>
      <c r="B24" s="76">
        <v>30086.821466631194</v>
      </c>
      <c r="C24" s="75">
        <v>35860.944208534929</v>
      </c>
      <c r="D24" s="170">
        <v>5774.122741903735</v>
      </c>
      <c r="E24" s="170">
        <v>4941</v>
      </c>
      <c r="F24" s="170">
        <f t="shared" si="0"/>
        <v>5774.122741903735</v>
      </c>
      <c r="G24" s="170">
        <f t="shared" si="1"/>
        <v>833.122741903735</v>
      </c>
      <c r="H24" s="39" t="s">
        <v>219</v>
      </c>
      <c r="I24" s="6"/>
    </row>
    <row r="25" spans="1:9" ht="38.25" x14ac:dyDescent="0.2">
      <c r="A25" s="199" t="s">
        <v>216</v>
      </c>
      <c r="B25" s="76">
        <v>4510</v>
      </c>
      <c r="C25" s="75">
        <v>6599</v>
      </c>
      <c r="D25" s="170">
        <v>2089</v>
      </c>
      <c r="E25" s="170">
        <v>2050</v>
      </c>
      <c r="F25" s="170">
        <f t="shared" si="0"/>
        <v>2089</v>
      </c>
      <c r="G25" s="170">
        <f t="shared" si="1"/>
        <v>39</v>
      </c>
      <c r="H25" s="172" t="s">
        <v>181</v>
      </c>
      <c r="I25" s="6"/>
    </row>
    <row r="26" spans="1:9" ht="38.25" x14ac:dyDescent="0.2">
      <c r="A26" s="199" t="s">
        <v>213</v>
      </c>
      <c r="B26" s="76">
        <v>15434.361538678488</v>
      </c>
      <c r="C26" s="75">
        <v>18439.2494041959</v>
      </c>
      <c r="D26" s="170">
        <v>3004.8878655174121</v>
      </c>
      <c r="E26" s="170">
        <f>2100.1</f>
        <v>2100.1</v>
      </c>
      <c r="F26" s="170">
        <f t="shared" si="0"/>
        <v>3004.8878655174121</v>
      </c>
      <c r="G26" s="170">
        <f t="shared" si="1"/>
        <v>904.78786551741223</v>
      </c>
      <c r="H26" s="172" t="s">
        <v>181</v>
      </c>
      <c r="I26" s="6"/>
    </row>
    <row r="27" spans="1:9" ht="38.25" x14ac:dyDescent="0.2">
      <c r="A27" s="199" t="s">
        <v>217</v>
      </c>
      <c r="B27" s="76">
        <v>6934.3108821361311</v>
      </c>
      <c r="C27" s="75">
        <v>7096</v>
      </c>
      <c r="D27" s="170">
        <v>161.68911786386889</v>
      </c>
      <c r="E27" s="170">
        <f>0</f>
        <v>0</v>
      </c>
      <c r="F27" s="170">
        <f t="shared" si="0"/>
        <v>161.68911786386889</v>
      </c>
      <c r="G27" s="170">
        <f t="shared" si="1"/>
        <v>161.68911786386889</v>
      </c>
      <c r="H27" s="172" t="s">
        <v>181</v>
      </c>
      <c r="I27" s="6"/>
    </row>
    <row r="28" spans="1:9" x14ac:dyDescent="0.2">
      <c r="A28" s="52" t="s">
        <v>218</v>
      </c>
      <c r="B28" s="76"/>
      <c r="C28" s="75">
        <v>1689</v>
      </c>
      <c r="D28" s="170">
        <v>1689</v>
      </c>
      <c r="E28" s="170">
        <v>1457</v>
      </c>
      <c r="F28" s="170">
        <f t="shared" si="0"/>
        <v>1689</v>
      </c>
      <c r="G28" s="170">
        <f t="shared" si="1"/>
        <v>232</v>
      </c>
      <c r="H28" s="44" t="s">
        <v>219</v>
      </c>
      <c r="I28" s="6"/>
    </row>
    <row r="29" spans="1:9" ht="38.25" x14ac:dyDescent="0.2">
      <c r="A29" s="52" t="s">
        <v>214</v>
      </c>
      <c r="B29" s="76">
        <v>4101</v>
      </c>
      <c r="C29" s="75">
        <v>6871</v>
      </c>
      <c r="D29" s="170">
        <v>2770</v>
      </c>
      <c r="E29" s="170">
        <v>2610</v>
      </c>
      <c r="F29" s="170">
        <f t="shared" si="0"/>
        <v>2770</v>
      </c>
      <c r="G29" s="170">
        <f t="shared" si="1"/>
        <v>160</v>
      </c>
      <c r="H29" s="172" t="s">
        <v>181</v>
      </c>
      <c r="I29" s="6"/>
    </row>
    <row r="30" spans="1:9" x14ac:dyDescent="0.2">
      <c r="A30" s="52" t="s">
        <v>215</v>
      </c>
      <c r="B30" s="76">
        <v>0</v>
      </c>
      <c r="C30" s="75">
        <v>1710</v>
      </c>
      <c r="D30" s="170">
        <v>1710</v>
      </c>
      <c r="E30" s="170">
        <f>'Sources and Uses of Funds'!C46</f>
        <v>0</v>
      </c>
      <c r="F30" s="170">
        <f t="shared" si="0"/>
        <v>1710</v>
      </c>
      <c r="G30" s="170">
        <f t="shared" si="1"/>
        <v>1710</v>
      </c>
      <c r="H30" s="44" t="s">
        <v>219</v>
      </c>
      <c r="I30" s="6"/>
    </row>
    <row r="31" spans="1:9" x14ac:dyDescent="0.2">
      <c r="A31" s="44"/>
      <c r="B31" s="44"/>
      <c r="C31" s="75"/>
      <c r="D31" s="44"/>
      <c r="E31" s="44"/>
      <c r="F31" s="44"/>
      <c r="G31" s="44"/>
      <c r="H31" s="44"/>
    </row>
    <row r="32" spans="1:9" x14ac:dyDescent="0.2">
      <c r="A32" s="44"/>
      <c r="B32" s="34">
        <f>SUM(B14:B31)</f>
        <v>230909.50935691973</v>
      </c>
      <c r="C32" s="34">
        <f>SUM(C14:C31)</f>
        <v>1058452.9086743151</v>
      </c>
      <c r="D32" s="34">
        <f>SUM(D14:D31)</f>
        <v>827543.39931739529</v>
      </c>
      <c r="E32" s="34">
        <f>SUM(E14:E31)</f>
        <v>387551.17763302848</v>
      </c>
      <c r="F32" s="34">
        <f>SUM(F14:F31)</f>
        <v>827543.39931739529</v>
      </c>
      <c r="G32" s="34">
        <f>F32-E32</f>
        <v>439992.22168436681</v>
      </c>
      <c r="H32" s="44"/>
    </row>
    <row r="33" spans="1:8" x14ac:dyDescent="0.2">
      <c r="A33" s="6"/>
      <c r="B33" s="6"/>
      <c r="C33" s="33">
        <f>AWP!D130</f>
        <v>1776367</v>
      </c>
      <c r="D33" s="6"/>
      <c r="E33" s="33"/>
      <c r="F33" s="6"/>
      <c r="G33" s="6"/>
      <c r="H33" s="6"/>
    </row>
    <row r="34" spans="1:8" x14ac:dyDescent="0.2">
      <c r="F34" s="37"/>
    </row>
    <row r="35" spans="1:8" x14ac:dyDescent="0.2">
      <c r="E35" s="37"/>
      <c r="F35" s="37"/>
    </row>
    <row r="36" spans="1:8" x14ac:dyDescent="0.2">
      <c r="E36" s="37"/>
    </row>
    <row r="38" spans="1:8" x14ac:dyDescent="0.2">
      <c r="E38" s="37"/>
    </row>
  </sheetData>
  <mergeCells count="7">
    <mergeCell ref="B9:D9"/>
    <mergeCell ref="B10:D10"/>
    <mergeCell ref="A1:H1"/>
    <mergeCell ref="A2:H2"/>
    <mergeCell ref="A4:H4"/>
    <mergeCell ref="A5:H5"/>
    <mergeCell ref="A3:H3"/>
  </mergeCells>
  <phoneticPr fontId="0" type="noConversion"/>
  <pageMargins left="0.51" right="0.75" top="0.43" bottom="0.36" header="0.21" footer="0.18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opLeftCell="A13" workbookViewId="0">
      <selection activeCell="D27" sqref="D27"/>
    </sheetView>
  </sheetViews>
  <sheetFormatPr defaultRowHeight="12.75" x14ac:dyDescent="0.2"/>
  <cols>
    <col min="1" max="1" width="43.7109375" customWidth="1"/>
    <col min="2" max="2" width="17.140625" customWidth="1"/>
    <col min="3" max="3" width="17.7109375" customWidth="1"/>
    <col min="4" max="4" width="17.7109375" bestFit="1" customWidth="1"/>
    <col min="5" max="5" width="15.85546875" customWidth="1"/>
  </cols>
  <sheetData>
    <row r="3" spans="1:5" ht="15.75" x14ac:dyDescent="0.25">
      <c r="A3" s="12"/>
    </row>
    <row r="4" spans="1:5" x14ac:dyDescent="0.2">
      <c r="A4" s="21"/>
    </row>
    <row r="5" spans="1:5" x14ac:dyDescent="0.2">
      <c r="A5" s="201"/>
    </row>
    <row r="6" spans="1:5" ht="15.75" x14ac:dyDescent="0.25">
      <c r="B6" s="203" t="s">
        <v>83</v>
      </c>
    </row>
    <row r="7" spans="1:5" ht="15" x14ac:dyDescent="0.25">
      <c r="B7" s="205" t="s">
        <v>222</v>
      </c>
    </row>
    <row r="8" spans="1:5" x14ac:dyDescent="0.2">
      <c r="B8" s="201" t="s">
        <v>36</v>
      </c>
    </row>
    <row r="9" spans="1:5" x14ac:dyDescent="0.2">
      <c r="B9" s="204" t="s">
        <v>300</v>
      </c>
    </row>
    <row r="10" spans="1:5" x14ac:dyDescent="0.2">
      <c r="C10" s="174">
        <v>1733.8333</v>
      </c>
    </row>
    <row r="13" spans="1:5" x14ac:dyDescent="0.2">
      <c r="A13" s="58"/>
      <c r="B13" s="59"/>
      <c r="C13" s="60" t="s">
        <v>17</v>
      </c>
    </row>
    <row r="14" spans="1:5" ht="51" x14ac:dyDescent="0.2">
      <c r="A14" s="55" t="s">
        <v>35</v>
      </c>
      <c r="B14" s="50" t="s">
        <v>256</v>
      </c>
      <c r="C14" s="50" t="s">
        <v>257</v>
      </c>
      <c r="D14" s="49" t="s">
        <v>301</v>
      </c>
      <c r="E14" s="49" t="s">
        <v>302</v>
      </c>
    </row>
    <row r="15" spans="1:5" x14ac:dyDescent="0.2">
      <c r="A15" s="61"/>
      <c r="B15" s="62"/>
      <c r="C15" s="62"/>
    </row>
    <row r="16" spans="1:5" x14ac:dyDescent="0.2">
      <c r="A16" s="3"/>
    </row>
    <row r="17" spans="1:5" x14ac:dyDescent="0.2">
      <c r="A17" s="29" t="s">
        <v>33</v>
      </c>
      <c r="B17" s="32">
        <v>14847612880.37743</v>
      </c>
      <c r="C17" s="33">
        <v>8563460.4436178673</v>
      </c>
      <c r="D17" s="32">
        <f>[3]CONSOLIDATED!$J$32</f>
        <v>43491326523.757423</v>
      </c>
      <c r="E17" s="32">
        <f>D17/C10</f>
        <v>25083914.655323222</v>
      </c>
    </row>
    <row r="18" spans="1:5" x14ac:dyDescent="0.2">
      <c r="A18" s="29" t="s">
        <v>69</v>
      </c>
      <c r="B18" s="32">
        <v>94316954.019999981</v>
      </c>
      <c r="C18" s="33">
        <v>54397.936652848912</v>
      </c>
      <c r="D18" s="32">
        <f>[3]CONSOLIDATED!$J$35+[3]CONSOLIDATED!$J$36+[3]CONSOLIDATED!$J$37</f>
        <v>536678088.33000004</v>
      </c>
      <c r="E18" s="32">
        <f>D18/C10</f>
        <v>309532.6917126347</v>
      </c>
    </row>
    <row r="19" spans="1:5" x14ac:dyDescent="0.2">
      <c r="A19" s="29" t="s">
        <v>70</v>
      </c>
      <c r="B19" s="32">
        <v>185938363.61000004</v>
      </c>
      <c r="C19" s="33">
        <v>107241.19995272905</v>
      </c>
      <c r="D19" s="32">
        <f>[3]CONSOLIDATED!$J$42</f>
        <v>198969754.70999998</v>
      </c>
      <c r="E19" s="32">
        <f>D19/C10</f>
        <v>114757.14228697763</v>
      </c>
    </row>
    <row r="20" spans="1:5" x14ac:dyDescent="0.2">
      <c r="A20" s="29" t="s">
        <v>71</v>
      </c>
      <c r="B20" s="32">
        <v>145852174.24000001</v>
      </c>
      <c r="C20" s="33">
        <v>84121.221019344826</v>
      </c>
      <c r="D20" s="32">
        <f>[3]CONSOLIDATED!$J$44+[3]CONSOLIDATED!$J$45</f>
        <v>357967838.09999996</v>
      </c>
      <c r="E20" s="32">
        <f>D20/C10</f>
        <v>206460.35469499862</v>
      </c>
    </row>
    <row r="21" spans="1:5" x14ac:dyDescent="0.2">
      <c r="A21" s="29" t="s">
        <v>223</v>
      </c>
      <c r="B21" s="32">
        <v>63333</v>
      </c>
      <c r="C21" s="33">
        <v>36.527733087142806</v>
      </c>
      <c r="D21" s="32">
        <f>[3]CONSOLIDATED!$J$41</f>
        <v>15892610</v>
      </c>
      <c r="E21" s="32">
        <f>D21/C10</f>
        <v>9166.1695504406343</v>
      </c>
    </row>
    <row r="22" spans="1:5" x14ac:dyDescent="0.2">
      <c r="A22" s="29" t="s">
        <v>72</v>
      </c>
      <c r="B22" s="32">
        <v>386976329.87</v>
      </c>
      <c r="C22" s="33">
        <v>223191.19714104003</v>
      </c>
      <c r="D22" s="32">
        <f>[3]CONSOLIDATED!$J$48</f>
        <v>710021623.12999988</v>
      </c>
      <c r="E22" s="32">
        <f>D22/C10</f>
        <v>409509.73956377461</v>
      </c>
    </row>
    <row r="23" spans="1:5" x14ac:dyDescent="0.2">
      <c r="A23" s="29" t="s">
        <v>73</v>
      </c>
      <c r="B23" s="32">
        <v>944930763.26999998</v>
      </c>
      <c r="C23" s="33">
        <v>544995.16376228328</v>
      </c>
      <c r="D23" s="32">
        <f>[3]CONSOLIDATED!$J$85</f>
        <v>1839072195.6900001</v>
      </c>
      <c r="E23" s="32">
        <f>D23/C10</f>
        <v>1060697.2398615254</v>
      </c>
    </row>
    <row r="24" spans="1:5" x14ac:dyDescent="0.2">
      <c r="A24" s="29" t="s">
        <v>74</v>
      </c>
      <c r="B24" s="32">
        <v>244406532.05000001</v>
      </c>
      <c r="C24" s="33">
        <v>140963.10876599269</v>
      </c>
      <c r="D24" s="32">
        <f>[3]CONSOLIDATED!$J$62</f>
        <v>251980075.83000001</v>
      </c>
      <c r="E24" s="32">
        <f>D24/C10</f>
        <v>145331.20100415652</v>
      </c>
    </row>
    <row r="25" spans="1:5" x14ac:dyDescent="0.2">
      <c r="A25" s="29" t="s">
        <v>75</v>
      </c>
      <c r="B25" s="32">
        <v>2782304029.9099998</v>
      </c>
      <c r="C25" s="33">
        <v>1604712.5348844088</v>
      </c>
      <c r="D25" s="32">
        <f>[3]CONSOLIDATED!$J$93+[3]CONSOLIDATED!$J$107+[3]CONSOLIDATED!$J$108</f>
        <v>2402120229.8299999</v>
      </c>
      <c r="E25" s="32">
        <f>D25/C10</f>
        <v>1385438.9749176002</v>
      </c>
    </row>
    <row r="26" spans="1:5" x14ac:dyDescent="0.2">
      <c r="A26" s="29" t="s">
        <v>76</v>
      </c>
      <c r="B26" s="32">
        <v>186699310.47000012</v>
      </c>
      <c r="C26" s="33">
        <v>107680.08116466567</v>
      </c>
      <c r="D26" s="32">
        <f>[3]CONSOLIDATED!$J$47+[3]CONSOLIDATED!$J$98</f>
        <v>2560822844.6900001</v>
      </c>
      <c r="E26" s="32">
        <f>D26/C10</f>
        <v>1476971.7738666111</v>
      </c>
    </row>
    <row r="27" spans="1:5" x14ac:dyDescent="0.2">
      <c r="B27" s="32"/>
      <c r="C27" s="6"/>
      <c r="D27" s="32"/>
      <c r="E27" s="32"/>
    </row>
    <row r="28" spans="1:5" x14ac:dyDescent="0.2">
      <c r="A28" s="47"/>
      <c r="B28" s="32"/>
      <c r="C28" s="6"/>
      <c r="D28" s="32"/>
      <c r="E28" s="32"/>
    </row>
    <row r="29" spans="1:5" ht="13.5" thickBot="1" x14ac:dyDescent="0.25">
      <c r="A29" s="47"/>
      <c r="B29" s="32"/>
      <c r="C29" s="6"/>
      <c r="D29" s="32"/>
      <c r="E29" s="32"/>
    </row>
    <row r="30" spans="1:5" ht="13.5" thickBot="1" x14ac:dyDescent="0.25">
      <c r="A30" s="15" t="s">
        <v>34</v>
      </c>
      <c r="B30" s="32">
        <f>SUM(B17:B29)</f>
        <v>19819100670.817432</v>
      </c>
      <c r="C30" s="32">
        <f>SUM(C17:C29)</f>
        <v>11430799.414694266</v>
      </c>
      <c r="D30" s="32">
        <f>SUM(D17:D29)</f>
        <v>52364851784.067429</v>
      </c>
      <c r="E30" s="32">
        <f>SUM(E17:E29)</f>
        <v>30201779.942781948</v>
      </c>
    </row>
    <row r="31" spans="1:5" x14ac:dyDescent="0.2">
      <c r="A31" s="9"/>
      <c r="B31" s="207"/>
      <c r="C31" s="207"/>
      <c r="D31" s="6"/>
      <c r="E31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abSelected="1" topLeftCell="A10" zoomScaleNormal="100" workbookViewId="0">
      <selection activeCell="D14" sqref="D14"/>
    </sheetView>
  </sheetViews>
  <sheetFormatPr defaultRowHeight="12.75" x14ac:dyDescent="0.2"/>
  <cols>
    <col min="1" max="1" width="3" customWidth="1"/>
    <col min="2" max="2" width="76.7109375" customWidth="1"/>
    <col min="3" max="3" width="25.42578125" bestFit="1" customWidth="1"/>
    <col min="4" max="4" width="20.28515625" bestFit="1" customWidth="1"/>
    <col min="5" max="5" width="13.42578125" style="31" customWidth="1"/>
    <col min="6" max="6" width="14.28515625" customWidth="1"/>
    <col min="7" max="7" width="13.140625" bestFit="1" customWidth="1"/>
    <col min="8" max="8" width="11.28515625" bestFit="1" customWidth="1"/>
  </cols>
  <sheetData>
    <row r="1" spans="2:8" x14ac:dyDescent="0.2">
      <c r="B1" s="21"/>
      <c r="C1" s="22"/>
      <c r="D1" s="23"/>
    </row>
    <row r="2" spans="2:8" x14ac:dyDescent="0.2">
      <c r="B2" s="218"/>
      <c r="C2" s="219"/>
      <c r="D2" s="220"/>
    </row>
    <row r="3" spans="2:8" ht="15.75" x14ac:dyDescent="0.25">
      <c r="B3" s="221" t="s">
        <v>83</v>
      </c>
      <c r="C3" s="222"/>
      <c r="D3" s="223"/>
    </row>
    <row r="4" spans="2:8" ht="15" x14ac:dyDescent="0.25">
      <c r="B4" s="226" t="s">
        <v>53</v>
      </c>
      <c r="C4" s="227"/>
      <c r="D4" s="228"/>
    </row>
    <row r="5" spans="2:8" ht="15" x14ac:dyDescent="0.25">
      <c r="B5" s="28" t="s">
        <v>28</v>
      </c>
      <c r="C5" s="25"/>
      <c r="D5" s="26"/>
    </row>
    <row r="6" spans="2:8" ht="15" x14ac:dyDescent="0.25">
      <c r="B6" s="24"/>
      <c r="C6" s="25"/>
      <c r="D6" s="26"/>
    </row>
    <row r="7" spans="2:8" s="27" customFormat="1" ht="24" x14ac:dyDescent="0.2">
      <c r="B7" s="63" t="s">
        <v>22</v>
      </c>
      <c r="C7" s="63" t="s">
        <v>23</v>
      </c>
      <c r="D7" s="63" t="s">
        <v>24</v>
      </c>
      <c r="E7" s="64" t="s">
        <v>25</v>
      </c>
      <c r="F7" s="63" t="s">
        <v>26</v>
      </c>
      <c r="G7" s="63" t="s">
        <v>27</v>
      </c>
    </row>
    <row r="8" spans="2:8" ht="25.5" x14ac:dyDescent="0.2">
      <c r="B8" s="30" t="s">
        <v>50</v>
      </c>
      <c r="C8" s="39" t="s">
        <v>56</v>
      </c>
      <c r="D8" s="6" t="s">
        <v>57</v>
      </c>
      <c r="E8" s="32">
        <v>600000</v>
      </c>
      <c r="F8" s="32">
        <v>600000</v>
      </c>
      <c r="G8" s="33">
        <f>E8-F8</f>
        <v>0</v>
      </c>
    </row>
    <row r="9" spans="2:8" ht="38.25" x14ac:dyDescent="0.2">
      <c r="B9" s="30" t="s">
        <v>54</v>
      </c>
      <c r="C9" s="39" t="s">
        <v>58</v>
      </c>
      <c r="D9" s="6" t="s">
        <v>57</v>
      </c>
      <c r="E9" s="32">
        <v>500000</v>
      </c>
      <c r="F9" s="32">
        <v>500000</v>
      </c>
      <c r="G9" s="33">
        <f t="shared" ref="G9:G24" si="0">E9-F9</f>
        <v>0</v>
      </c>
    </row>
    <row r="10" spans="2:8" ht="25.5" x14ac:dyDescent="0.2">
      <c r="B10" s="30" t="s">
        <v>49</v>
      </c>
      <c r="C10" s="40" t="s">
        <v>59</v>
      </c>
      <c r="D10" s="41" t="s">
        <v>82</v>
      </c>
      <c r="E10" s="32">
        <v>0</v>
      </c>
      <c r="F10" s="32">
        <v>0</v>
      </c>
      <c r="G10" s="33">
        <f t="shared" si="0"/>
        <v>0</v>
      </c>
    </row>
    <row r="11" spans="2:8" ht="25.5" x14ac:dyDescent="0.2">
      <c r="B11" s="30" t="s">
        <v>52</v>
      </c>
      <c r="C11" s="42" t="s">
        <v>79</v>
      </c>
      <c r="D11" s="39" t="s">
        <v>183</v>
      </c>
      <c r="E11" s="32">
        <v>1300000</v>
      </c>
      <c r="F11" s="32">
        <f>711050.03+106225.93+58503.54+196100+152775.75</f>
        <v>1224655.25</v>
      </c>
      <c r="G11" s="33">
        <f t="shared" si="0"/>
        <v>75344.75</v>
      </c>
      <c r="H11" s="31"/>
    </row>
    <row r="12" spans="2:8" ht="25.5" x14ac:dyDescent="0.2">
      <c r="B12" s="39" t="s">
        <v>48</v>
      </c>
      <c r="C12" s="43" t="s">
        <v>60</v>
      </c>
      <c r="D12" s="39" t="s">
        <v>80</v>
      </c>
      <c r="E12" s="32">
        <v>600000</v>
      </c>
      <c r="F12" s="32">
        <v>300000</v>
      </c>
      <c r="G12" s="33">
        <f t="shared" si="0"/>
        <v>300000</v>
      </c>
    </row>
    <row r="13" spans="2:8" x14ac:dyDescent="0.2">
      <c r="B13" s="30" t="s">
        <v>47</v>
      </c>
      <c r="C13" s="44" t="s">
        <v>61</v>
      </c>
      <c r="D13" s="39" t="s">
        <v>57</v>
      </c>
      <c r="E13" s="32">
        <v>200000</v>
      </c>
      <c r="F13" s="32">
        <v>200000</v>
      </c>
      <c r="G13" s="33">
        <f t="shared" si="0"/>
        <v>0</v>
      </c>
    </row>
    <row r="14" spans="2:8" ht="25.5" x14ac:dyDescent="0.2">
      <c r="B14" s="30" t="s">
        <v>46</v>
      </c>
      <c r="C14" s="46" t="s">
        <v>81</v>
      </c>
      <c r="D14" s="39" t="s">
        <v>57</v>
      </c>
      <c r="E14" s="32">
        <v>500000</v>
      </c>
      <c r="F14" s="32">
        <v>500000</v>
      </c>
      <c r="G14" s="33">
        <f t="shared" si="0"/>
        <v>0</v>
      </c>
    </row>
    <row r="15" spans="2:8" ht="89.25" x14ac:dyDescent="0.2">
      <c r="B15" s="39" t="s">
        <v>51</v>
      </c>
      <c r="C15" s="43" t="s">
        <v>62</v>
      </c>
      <c r="D15" s="39" t="s">
        <v>78</v>
      </c>
      <c r="E15" s="32">
        <v>700000</v>
      </c>
      <c r="F15" s="32">
        <f>171000+60000+44000+20000+405000</f>
        <v>700000</v>
      </c>
      <c r="G15" s="33">
        <f t="shared" si="0"/>
        <v>0</v>
      </c>
      <c r="H15" s="31"/>
    </row>
    <row r="16" spans="2:8" x14ac:dyDescent="0.2">
      <c r="B16" s="30" t="s">
        <v>38</v>
      </c>
      <c r="C16" s="53" t="s">
        <v>77</v>
      </c>
      <c r="D16" s="209" t="s">
        <v>57</v>
      </c>
      <c r="E16" s="32">
        <v>900000</v>
      </c>
      <c r="F16" s="32">
        <v>900000</v>
      </c>
      <c r="G16" s="33">
        <f t="shared" si="0"/>
        <v>0</v>
      </c>
    </row>
    <row r="17" spans="2:7" ht="25.5" x14ac:dyDescent="0.2">
      <c r="B17" s="30" t="s">
        <v>39</v>
      </c>
      <c r="C17" s="45" t="s">
        <v>63</v>
      </c>
      <c r="D17" s="39" t="s">
        <v>57</v>
      </c>
      <c r="E17" s="32">
        <v>100000</v>
      </c>
      <c r="F17" s="32">
        <v>100000</v>
      </c>
      <c r="G17" s="33">
        <f t="shared" si="0"/>
        <v>0</v>
      </c>
    </row>
    <row r="18" spans="2:7" ht="38.25" x14ac:dyDescent="0.2">
      <c r="B18" s="30" t="s">
        <v>40</v>
      </c>
      <c r="C18" s="45" t="s">
        <v>64</v>
      </c>
      <c r="D18" s="39" t="s">
        <v>57</v>
      </c>
      <c r="E18" s="32">
        <v>75000</v>
      </c>
      <c r="F18" s="32">
        <f>60000+15000</f>
        <v>75000</v>
      </c>
      <c r="G18" s="33">
        <f t="shared" si="0"/>
        <v>0</v>
      </c>
    </row>
    <row r="19" spans="2:7" ht="38.25" x14ac:dyDescent="0.2">
      <c r="B19" s="30" t="s">
        <v>41</v>
      </c>
      <c r="C19" s="45" t="s">
        <v>65</v>
      </c>
      <c r="D19" s="6" t="s">
        <v>57</v>
      </c>
      <c r="E19" s="32">
        <v>75000</v>
      </c>
      <c r="F19" s="32">
        <f>60000+15000</f>
        <v>75000</v>
      </c>
      <c r="G19" s="33">
        <f t="shared" si="0"/>
        <v>0</v>
      </c>
    </row>
    <row r="20" spans="2:7" ht="38.25" x14ac:dyDescent="0.2">
      <c r="B20" s="30" t="s">
        <v>42</v>
      </c>
      <c r="C20" s="45" t="s">
        <v>65</v>
      </c>
      <c r="D20" s="6" t="s">
        <v>57</v>
      </c>
      <c r="E20" s="32">
        <v>75000</v>
      </c>
      <c r="F20" s="32">
        <f>60000+15000</f>
        <v>75000</v>
      </c>
      <c r="G20" s="33">
        <f t="shared" si="0"/>
        <v>0</v>
      </c>
    </row>
    <row r="21" spans="2:7" ht="38.25" x14ac:dyDescent="0.2">
      <c r="B21" s="30" t="s">
        <v>43</v>
      </c>
      <c r="C21" s="45" t="s">
        <v>66</v>
      </c>
      <c r="D21" s="39" t="s">
        <v>57</v>
      </c>
      <c r="E21" s="32">
        <v>75000</v>
      </c>
      <c r="F21" s="32">
        <f>60000+15000</f>
        <v>75000</v>
      </c>
      <c r="G21" s="33">
        <f t="shared" si="0"/>
        <v>0</v>
      </c>
    </row>
    <row r="22" spans="2:7" ht="38.25" x14ac:dyDescent="0.2">
      <c r="B22" s="30" t="s">
        <v>44</v>
      </c>
      <c r="C22" s="45" t="s">
        <v>67</v>
      </c>
      <c r="D22" s="39" t="s">
        <v>179</v>
      </c>
      <c r="E22" s="32">
        <v>150000</v>
      </c>
      <c r="F22" s="32">
        <v>150000</v>
      </c>
      <c r="G22" s="33">
        <f t="shared" si="0"/>
        <v>0</v>
      </c>
    </row>
    <row r="23" spans="2:7" ht="38.25" x14ac:dyDescent="0.2">
      <c r="B23" s="30" t="s">
        <v>45</v>
      </c>
      <c r="C23" s="54" t="s">
        <v>68</v>
      </c>
      <c r="D23" s="39" t="s">
        <v>180</v>
      </c>
      <c r="E23" s="32">
        <v>150000</v>
      </c>
      <c r="F23" s="32">
        <v>150000</v>
      </c>
      <c r="G23" s="33">
        <f t="shared" si="0"/>
        <v>0</v>
      </c>
    </row>
    <row r="24" spans="2:7" x14ac:dyDescent="0.2">
      <c r="B24" s="6"/>
      <c r="C24" s="6"/>
      <c r="D24" s="6"/>
      <c r="E24" s="175">
        <f>SUM(E8:E23)</f>
        <v>6000000</v>
      </c>
      <c r="F24" s="175">
        <f>SUM(F8:F23)</f>
        <v>5624655.25</v>
      </c>
      <c r="G24" s="34">
        <f t="shared" si="0"/>
        <v>375344.75</v>
      </c>
    </row>
    <row r="26" spans="2:7" x14ac:dyDescent="0.2">
      <c r="D26" s="19"/>
      <c r="F26" s="37">
        <f>F24/E24</f>
        <v>0.93744254166666663</v>
      </c>
    </row>
    <row r="28" spans="2:7" x14ac:dyDescent="0.2">
      <c r="D28" s="19"/>
      <c r="F28" s="37"/>
    </row>
    <row r="29" spans="2:7" x14ac:dyDescent="0.2">
      <c r="F29">
        <v>5624655.25</v>
      </c>
      <c r="G29" s="37"/>
    </row>
    <row r="30" spans="2:7" x14ac:dyDescent="0.2">
      <c r="F30" s="37">
        <f>F24-F29</f>
        <v>0</v>
      </c>
      <c r="G30" s="37"/>
    </row>
    <row r="31" spans="2:7" x14ac:dyDescent="0.2">
      <c r="D31" s="19"/>
      <c r="F31" s="37"/>
    </row>
    <row r="33" spans="4:6" x14ac:dyDescent="0.2">
      <c r="D33" s="19"/>
      <c r="F33" s="37"/>
    </row>
    <row r="35" spans="4:6" x14ac:dyDescent="0.2">
      <c r="F35" s="38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opLeftCell="A106" workbookViewId="0">
      <selection activeCell="D129" sqref="D129"/>
    </sheetView>
  </sheetViews>
  <sheetFormatPr defaultColWidth="8.85546875" defaultRowHeight="15" x14ac:dyDescent="0.25"/>
  <cols>
    <col min="1" max="1" width="74.85546875" bestFit="1" customWidth="1"/>
    <col min="2" max="2" width="8.140625" bestFit="1" customWidth="1"/>
    <col min="3" max="3" width="10.28515625" bestFit="1" customWidth="1"/>
    <col min="4" max="4" width="12.85546875" style="198" bestFit="1" customWidth="1"/>
    <col min="5" max="5" width="13.28515625" bestFit="1" customWidth="1"/>
    <col min="6" max="7" width="12.5703125" bestFit="1" customWidth="1"/>
    <col min="8" max="8" width="6" customWidth="1"/>
    <col min="9" max="9" width="5.28515625" customWidth="1"/>
    <col min="10" max="10" width="4.42578125" customWidth="1"/>
    <col min="11" max="11" width="4.85546875" customWidth="1"/>
    <col min="12" max="12" width="6.42578125" customWidth="1"/>
    <col min="13" max="13" width="5.28515625" customWidth="1"/>
    <col min="14" max="14" width="6.42578125" customWidth="1"/>
    <col min="15" max="15" width="6" customWidth="1"/>
  </cols>
  <sheetData>
    <row r="1" spans="1:19" ht="16.5" thickBot="1" x14ac:dyDescent="0.3">
      <c r="A1" s="81" t="s">
        <v>88</v>
      </c>
      <c r="B1" s="82"/>
      <c r="C1" s="82"/>
      <c r="D1" s="176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9" s="87" customFormat="1" ht="12.75" x14ac:dyDescent="0.2">
      <c r="A2" s="84" t="s">
        <v>89</v>
      </c>
      <c r="B2" s="85" t="s">
        <v>90</v>
      </c>
      <c r="C2" s="85"/>
      <c r="D2" s="177" t="s">
        <v>91</v>
      </c>
      <c r="E2" s="85" t="s">
        <v>97</v>
      </c>
      <c r="F2" s="85" t="s">
        <v>98</v>
      </c>
      <c r="G2" s="85" t="s">
        <v>99</v>
      </c>
      <c r="H2" s="85" t="s">
        <v>100</v>
      </c>
      <c r="I2" s="85" t="s">
        <v>101</v>
      </c>
      <c r="J2" s="85" t="s">
        <v>102</v>
      </c>
      <c r="K2" s="85" t="s">
        <v>92</v>
      </c>
      <c r="L2" s="85" t="s">
        <v>93</v>
      </c>
      <c r="M2" s="85" t="s">
        <v>94</v>
      </c>
      <c r="N2" s="85" t="s">
        <v>95</v>
      </c>
      <c r="O2" s="85" t="s">
        <v>96</v>
      </c>
      <c r="P2" s="86" t="s">
        <v>184</v>
      </c>
    </row>
    <row r="3" spans="1:19" s="87" customFormat="1" ht="12.75" x14ac:dyDescent="0.2">
      <c r="A3" s="88"/>
      <c r="B3" s="89"/>
      <c r="C3" s="89"/>
      <c r="D3" s="178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19" s="94" customFormat="1" ht="12.75" x14ac:dyDescent="0.2">
      <c r="A4" s="69" t="str">
        <f>'[1]Y2 WORKPLAN'!B6</f>
        <v>1.1    Existing curricula reviewed and improved</v>
      </c>
      <c r="B4" s="92"/>
      <c r="C4" s="92"/>
      <c r="D4" s="179"/>
      <c r="E4" s="92"/>
      <c r="F4" s="92"/>
      <c r="G4" s="92"/>
      <c r="H4" s="92" t="s">
        <v>103</v>
      </c>
      <c r="I4" s="92" t="s">
        <v>103</v>
      </c>
      <c r="J4" s="92" t="s">
        <v>103</v>
      </c>
      <c r="K4" s="92" t="s">
        <v>103</v>
      </c>
      <c r="L4" s="92" t="s">
        <v>103</v>
      </c>
      <c r="M4" s="92" t="s">
        <v>103</v>
      </c>
      <c r="N4" s="92"/>
      <c r="O4" s="92"/>
      <c r="P4" s="93"/>
    </row>
    <row r="5" spans="1:19" s="87" customFormat="1" ht="26.25" x14ac:dyDescent="0.25">
      <c r="A5" s="95" t="s">
        <v>185</v>
      </c>
      <c r="B5" s="96"/>
      <c r="C5" s="96"/>
      <c r="D5" s="178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19" s="87" customFormat="1" ht="12.75" x14ac:dyDescent="0.2">
      <c r="A6" s="97" t="s">
        <v>104</v>
      </c>
      <c r="B6" s="89">
        <v>25</v>
      </c>
      <c r="C6" s="180">
        <v>180</v>
      </c>
      <c r="D6" s="178">
        <f>B6*C6</f>
        <v>4500</v>
      </c>
      <c r="E6" s="90"/>
      <c r="F6" s="90"/>
      <c r="G6" s="98"/>
      <c r="H6" s="90"/>
      <c r="I6" s="90"/>
      <c r="J6" s="90"/>
      <c r="K6" s="90"/>
      <c r="L6" s="90"/>
      <c r="M6" s="90"/>
      <c r="N6" s="90"/>
      <c r="O6" s="90"/>
      <c r="P6" s="91"/>
    </row>
    <row r="7" spans="1:19" s="87" customFormat="1" ht="12.75" x14ac:dyDescent="0.2">
      <c r="A7" s="97" t="s">
        <v>105</v>
      </c>
      <c r="B7" s="89">
        <v>4</v>
      </c>
      <c r="C7" s="180">
        <v>3000</v>
      </c>
      <c r="D7" s="178">
        <f t="shared" ref="D7:D12" si="0">B7*C7</f>
        <v>12000</v>
      </c>
      <c r="E7" s="90"/>
      <c r="F7" s="90"/>
      <c r="G7" s="98"/>
      <c r="H7" s="90"/>
      <c r="I7" s="90"/>
      <c r="J7" s="90"/>
      <c r="K7" s="90"/>
      <c r="L7" s="90"/>
      <c r="M7" s="90"/>
      <c r="N7" s="90"/>
      <c r="O7" s="90"/>
      <c r="P7" s="91"/>
      <c r="S7" s="181"/>
    </row>
    <row r="8" spans="1:19" ht="12.75" x14ac:dyDescent="0.2">
      <c r="A8" s="99" t="s">
        <v>106</v>
      </c>
      <c r="B8" s="182">
        <v>25</v>
      </c>
      <c r="C8" s="180">
        <v>100</v>
      </c>
      <c r="D8" s="178">
        <f t="shared" si="0"/>
        <v>2500</v>
      </c>
      <c r="E8" s="6"/>
      <c r="F8" s="6"/>
      <c r="G8" s="98"/>
      <c r="H8" s="6"/>
      <c r="I8" s="6"/>
      <c r="J8" s="6"/>
      <c r="K8" s="6"/>
      <c r="L8" s="6"/>
      <c r="M8" s="6"/>
      <c r="N8" s="6"/>
      <c r="O8" s="6"/>
      <c r="P8" s="101"/>
    </row>
    <row r="9" spans="1:19" s="94" customFormat="1" ht="12.75" x14ac:dyDescent="0.2">
      <c r="A9" s="99" t="s">
        <v>107</v>
      </c>
      <c r="B9" s="89">
        <v>1</v>
      </c>
      <c r="C9" s="180">
        <v>1500</v>
      </c>
      <c r="D9" s="178">
        <f t="shared" si="0"/>
        <v>1500</v>
      </c>
      <c r="E9" s="89"/>
      <c r="F9" s="89"/>
      <c r="G9" s="98"/>
      <c r="H9" s="89"/>
      <c r="I9" s="89"/>
      <c r="J9" s="89"/>
      <c r="K9" s="89"/>
      <c r="L9" s="89"/>
      <c r="M9" s="89"/>
      <c r="N9" s="89"/>
      <c r="O9" s="89"/>
      <c r="P9" s="102"/>
    </row>
    <row r="10" spans="1:19" s="87" customFormat="1" ht="12.75" x14ac:dyDescent="0.2">
      <c r="A10" s="99" t="s">
        <v>108</v>
      </c>
      <c r="B10" s="103">
        <v>1</v>
      </c>
      <c r="C10" s="180">
        <v>1500</v>
      </c>
      <c r="D10" s="178">
        <f t="shared" si="0"/>
        <v>1500</v>
      </c>
      <c r="E10" s="90"/>
      <c r="F10" s="90"/>
      <c r="G10" s="98"/>
      <c r="H10" s="90"/>
      <c r="I10" s="90"/>
      <c r="J10" s="90"/>
      <c r="K10" s="90"/>
      <c r="L10" s="90"/>
      <c r="M10" s="90"/>
      <c r="N10" s="90"/>
      <c r="O10" s="90"/>
      <c r="P10" s="91"/>
    </row>
    <row r="11" spans="1:19" s="87" customFormat="1" ht="12.75" x14ac:dyDescent="0.2">
      <c r="A11" s="99" t="s">
        <v>109</v>
      </c>
      <c r="B11" s="103">
        <v>1</v>
      </c>
      <c r="C11" s="180">
        <v>1000</v>
      </c>
      <c r="D11" s="178">
        <f t="shared" si="0"/>
        <v>1000</v>
      </c>
      <c r="E11" s="90"/>
      <c r="F11" s="90"/>
      <c r="G11" s="98"/>
      <c r="H11" s="90"/>
      <c r="I11" s="90"/>
      <c r="J11" s="90"/>
      <c r="K11" s="90"/>
      <c r="L11" s="90"/>
      <c r="M11" s="90"/>
      <c r="N11" s="90"/>
      <c r="O11" s="90"/>
      <c r="P11" s="91"/>
    </row>
    <row r="12" spans="1:19" s="87" customFormat="1" ht="12.75" x14ac:dyDescent="0.2">
      <c r="A12" s="99" t="s">
        <v>186</v>
      </c>
      <c r="B12" s="103">
        <v>1</v>
      </c>
      <c r="C12" s="180">
        <v>200000</v>
      </c>
      <c r="D12" s="178">
        <f t="shared" si="0"/>
        <v>200000</v>
      </c>
      <c r="E12" s="90"/>
      <c r="F12" s="90"/>
      <c r="G12" s="98"/>
      <c r="H12" s="90"/>
      <c r="I12" s="90"/>
      <c r="J12" s="90"/>
      <c r="K12" s="90"/>
      <c r="L12" s="90"/>
      <c r="M12" s="90"/>
      <c r="N12" s="90"/>
      <c r="O12" s="90"/>
      <c r="P12" s="91"/>
    </row>
    <row r="13" spans="1:19" s="87" customFormat="1" ht="12.75" x14ac:dyDescent="0.2">
      <c r="A13" s="99" t="s">
        <v>187</v>
      </c>
      <c r="B13" s="103"/>
      <c r="C13" s="180"/>
      <c r="D13" s="178"/>
      <c r="E13" s="90"/>
      <c r="F13" s="90"/>
      <c r="G13" s="98"/>
      <c r="H13" s="90"/>
      <c r="I13" s="90"/>
      <c r="J13" s="90"/>
      <c r="K13" s="90"/>
      <c r="L13" s="90"/>
      <c r="M13" s="90"/>
      <c r="N13" s="90"/>
      <c r="O13" s="90"/>
      <c r="P13" s="91"/>
    </row>
    <row r="14" spans="1:19" s="87" customFormat="1" ht="12.75" x14ac:dyDescent="0.2">
      <c r="A14" s="104" t="s">
        <v>110</v>
      </c>
      <c r="B14" s="105"/>
      <c r="C14" s="105"/>
      <c r="D14" s="183">
        <f>SUM(D6:D13)</f>
        <v>223000</v>
      </c>
      <c r="E14" s="90"/>
      <c r="F14" s="90"/>
      <c r="G14" s="106"/>
      <c r="H14" s="90"/>
      <c r="I14" s="90"/>
      <c r="J14" s="90"/>
      <c r="K14" s="90"/>
      <c r="L14" s="90"/>
      <c r="M14" s="90"/>
      <c r="N14" s="90"/>
      <c r="O14" s="90"/>
      <c r="P14" s="91"/>
    </row>
    <row r="15" spans="1:19" s="87" customFormat="1" ht="12.75" x14ac:dyDescent="0.2">
      <c r="A15" s="107" t="str">
        <f>'[1]Y2 WORKPLAN'!B7</f>
        <v>1.2   Students recruited and supported</v>
      </c>
      <c r="B15" s="92"/>
      <c r="C15" s="92"/>
      <c r="D15" s="179"/>
      <c r="E15" s="92" t="s">
        <v>103</v>
      </c>
      <c r="F15" s="92" t="s">
        <v>103</v>
      </c>
      <c r="G15" s="92" t="s">
        <v>103</v>
      </c>
      <c r="H15" s="92" t="s">
        <v>103</v>
      </c>
      <c r="I15" s="92" t="s">
        <v>103</v>
      </c>
      <c r="J15" s="92" t="s">
        <v>103</v>
      </c>
      <c r="K15" s="92" t="s">
        <v>103</v>
      </c>
      <c r="L15" s="92" t="s">
        <v>103</v>
      </c>
      <c r="M15" s="92" t="s">
        <v>103</v>
      </c>
      <c r="N15" s="92" t="s">
        <v>103</v>
      </c>
      <c r="O15" s="92" t="s">
        <v>103</v>
      </c>
      <c r="P15" s="93" t="s">
        <v>103</v>
      </c>
    </row>
    <row r="16" spans="1:19" s="87" customFormat="1" ht="12.75" x14ac:dyDescent="0.2">
      <c r="A16" s="108" t="s">
        <v>111</v>
      </c>
      <c r="B16" s="89">
        <v>11</v>
      </c>
      <c r="C16" s="180">
        <v>10000</v>
      </c>
      <c r="D16" s="178">
        <f>C16*B16</f>
        <v>110000</v>
      </c>
      <c r="E16" s="109"/>
      <c r="F16" s="109"/>
      <c r="G16" s="89"/>
      <c r="H16" s="89"/>
      <c r="I16" s="89"/>
      <c r="J16" s="89"/>
      <c r="K16" s="89"/>
      <c r="L16" s="89"/>
      <c r="M16" s="89"/>
      <c r="N16" s="89"/>
      <c r="O16" s="89"/>
      <c r="P16" s="102"/>
    </row>
    <row r="17" spans="1:16" s="87" customFormat="1" ht="12.75" x14ac:dyDescent="0.2">
      <c r="A17" s="108" t="s">
        <v>112</v>
      </c>
      <c r="B17" s="89">
        <v>34</v>
      </c>
      <c r="C17" s="180">
        <v>3200</v>
      </c>
      <c r="D17" s="178">
        <f>B17*C17</f>
        <v>108800</v>
      </c>
      <c r="E17" s="109"/>
      <c r="F17" s="89"/>
      <c r="G17" s="109"/>
      <c r="H17" s="89"/>
      <c r="I17" s="89"/>
      <c r="J17" s="89"/>
      <c r="K17" s="89"/>
      <c r="L17" s="89"/>
      <c r="M17" s="89"/>
      <c r="N17" s="89"/>
      <c r="O17" s="89"/>
      <c r="P17" s="102"/>
    </row>
    <row r="18" spans="1:16" s="187" customFormat="1" ht="12.75" x14ac:dyDescent="0.2">
      <c r="A18" s="184" t="s">
        <v>113</v>
      </c>
      <c r="B18" s="111">
        <v>19</v>
      </c>
      <c r="C18" s="180">
        <v>7200</v>
      </c>
      <c r="D18" s="185">
        <f>B18*C18</f>
        <v>136800</v>
      </c>
      <c r="E18" s="110"/>
      <c r="F18" s="110"/>
      <c r="G18" s="186"/>
      <c r="H18" s="111"/>
      <c r="I18" s="111"/>
      <c r="J18" s="111"/>
      <c r="K18" s="111"/>
      <c r="L18" s="111"/>
      <c r="M18" s="111"/>
      <c r="N18" s="111"/>
      <c r="O18" s="111"/>
      <c r="P18" s="112"/>
    </row>
    <row r="19" spans="1:16" s="113" customFormat="1" ht="12.75" x14ac:dyDescent="0.2">
      <c r="A19" s="108" t="s">
        <v>114</v>
      </c>
      <c r="B19" s="111">
        <v>5</v>
      </c>
      <c r="C19" s="180">
        <f t="shared" ref="C19:C28" si="1">D19/B19</f>
        <v>750</v>
      </c>
      <c r="D19" s="185">
        <v>3750</v>
      </c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</row>
    <row r="20" spans="1:16" s="87" customFormat="1" ht="12.75" x14ac:dyDescent="0.2">
      <c r="A20" s="114" t="s">
        <v>115</v>
      </c>
      <c r="B20" s="89">
        <v>5</v>
      </c>
      <c r="C20" s="180">
        <f t="shared" si="1"/>
        <v>533.4</v>
      </c>
      <c r="D20" s="185">
        <v>2667</v>
      </c>
      <c r="E20" s="89"/>
      <c r="F20" s="180"/>
      <c r="G20" s="89"/>
      <c r="H20" s="89"/>
      <c r="I20" s="89"/>
      <c r="J20" s="89"/>
      <c r="K20" s="89"/>
      <c r="L20" s="89"/>
      <c r="M20" s="89"/>
      <c r="N20" s="89"/>
      <c r="O20" s="89"/>
      <c r="P20" s="102"/>
    </row>
    <row r="21" spans="1:16" s="87" customFormat="1" ht="12.75" x14ac:dyDescent="0.2">
      <c r="A21" s="114" t="s">
        <v>116</v>
      </c>
      <c r="B21" s="89">
        <v>15</v>
      </c>
      <c r="C21" s="180">
        <f t="shared" si="1"/>
        <v>10000</v>
      </c>
      <c r="D21" s="178">
        <v>150000</v>
      </c>
      <c r="E21" s="10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102"/>
    </row>
    <row r="22" spans="1:16" s="87" customFormat="1" ht="12.75" x14ac:dyDescent="0.2">
      <c r="A22" s="114" t="s">
        <v>117</v>
      </c>
      <c r="B22" s="89">
        <v>4</v>
      </c>
      <c r="C22" s="180">
        <v>10000</v>
      </c>
      <c r="D22" s="178">
        <f>B22*C22</f>
        <v>40000</v>
      </c>
      <c r="E22" s="109"/>
      <c r="F22" s="109"/>
      <c r="G22" s="89"/>
      <c r="H22" s="89"/>
      <c r="I22" s="89"/>
      <c r="J22" s="89"/>
      <c r="K22" s="89"/>
      <c r="L22" s="89"/>
      <c r="M22" s="89"/>
      <c r="N22" s="89"/>
      <c r="O22" s="89"/>
      <c r="P22" s="102"/>
    </row>
    <row r="23" spans="1:16" s="87" customFormat="1" ht="12.75" x14ac:dyDescent="0.2">
      <c r="A23" s="114" t="s">
        <v>188</v>
      </c>
      <c r="B23" s="89">
        <v>1</v>
      </c>
      <c r="C23" s="180">
        <f t="shared" si="1"/>
        <v>6000</v>
      </c>
      <c r="D23" s="178">
        <v>6000</v>
      </c>
      <c r="E23" s="10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102"/>
    </row>
    <row r="24" spans="1:16" s="87" customFormat="1" ht="25.5" x14ac:dyDescent="0.2">
      <c r="A24" s="115" t="s">
        <v>189</v>
      </c>
      <c r="B24" s="89">
        <v>3</v>
      </c>
      <c r="C24" s="180">
        <f t="shared" si="1"/>
        <v>300</v>
      </c>
      <c r="D24" s="178">
        <v>900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6" s="87" customFormat="1" ht="25.5" x14ac:dyDescent="0.2">
      <c r="A25" s="115" t="s">
        <v>190</v>
      </c>
      <c r="B25" s="89">
        <v>16</v>
      </c>
      <c r="C25" s="180">
        <f t="shared" si="1"/>
        <v>300</v>
      </c>
      <c r="D25" s="178">
        <v>4800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6" s="87" customFormat="1" ht="25.5" x14ac:dyDescent="0.2">
      <c r="A26" s="115" t="s">
        <v>191</v>
      </c>
      <c r="B26" s="89">
        <v>6</v>
      </c>
      <c r="C26" s="180">
        <f t="shared" si="1"/>
        <v>100</v>
      </c>
      <c r="D26" s="178">
        <v>600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6" s="87" customFormat="1" ht="25.5" x14ac:dyDescent="0.2">
      <c r="A27" s="115" t="s">
        <v>192</v>
      </c>
      <c r="B27" s="89">
        <v>71</v>
      </c>
      <c r="C27" s="180">
        <f t="shared" si="1"/>
        <v>102.8169014084507</v>
      </c>
      <c r="D27" s="178">
        <v>7300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1"/>
    </row>
    <row r="28" spans="1:16" s="87" customFormat="1" ht="12.75" x14ac:dyDescent="0.2">
      <c r="A28" s="115" t="s">
        <v>193</v>
      </c>
      <c r="B28" s="89">
        <v>1</v>
      </c>
      <c r="C28" s="180">
        <f t="shared" si="1"/>
        <v>7000</v>
      </c>
      <c r="D28" s="178">
        <v>7000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6" s="87" customFormat="1" ht="12.75" x14ac:dyDescent="0.2">
      <c r="A29" s="104" t="s">
        <v>118</v>
      </c>
      <c r="B29" s="116"/>
      <c r="C29" s="116"/>
      <c r="D29" s="183">
        <f>SUM(D16:D28)</f>
        <v>578617</v>
      </c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1:16" s="94" customFormat="1" ht="12.75" x14ac:dyDescent="0.2">
      <c r="A30" s="69" t="str">
        <f>'[1]Y2 WORKPLAN'!B8</f>
        <v>1.3    Rehabilitate and upgrade teaching and learning facilities</v>
      </c>
      <c r="B30" s="92"/>
      <c r="C30" s="92"/>
      <c r="D30" s="188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6" s="94" customFormat="1" ht="12.75" x14ac:dyDescent="0.2">
      <c r="A31" s="97" t="s">
        <v>194</v>
      </c>
      <c r="B31" s="89">
        <v>1</v>
      </c>
      <c r="C31" s="180">
        <v>300000</v>
      </c>
      <c r="D31" s="178">
        <f>B31*C31</f>
        <v>300000</v>
      </c>
      <c r="E31" s="89"/>
      <c r="F31" s="89"/>
      <c r="G31" s="89"/>
      <c r="H31" s="89" t="s">
        <v>103</v>
      </c>
      <c r="I31" s="89" t="s">
        <v>103</v>
      </c>
      <c r="J31" s="89" t="s">
        <v>103</v>
      </c>
      <c r="K31" s="89" t="s">
        <v>103</v>
      </c>
      <c r="L31" s="89" t="s">
        <v>103</v>
      </c>
      <c r="M31" s="89"/>
      <c r="N31" s="89"/>
      <c r="O31" s="89"/>
      <c r="P31" s="102"/>
    </row>
    <row r="32" spans="1:16" s="94" customFormat="1" x14ac:dyDescent="0.25">
      <c r="A32" s="97"/>
      <c r="B32" s="96"/>
      <c r="C32" s="96"/>
      <c r="D32" s="189">
        <f>SUM(D31:D31)</f>
        <v>300000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02"/>
    </row>
    <row r="33" spans="1:16" s="119" customFormat="1" ht="12.75" x14ac:dyDescent="0.2">
      <c r="A33" s="69" t="str">
        <f>'[1]Y2 WORKPLAN'!B9</f>
        <v>1.4    Professional development and short courses for special groups</v>
      </c>
      <c r="B33" s="117"/>
      <c r="C33" s="117"/>
      <c r="D33" s="188"/>
      <c r="E33" s="117"/>
      <c r="F33" s="117"/>
      <c r="G33" s="117" t="s">
        <v>103</v>
      </c>
      <c r="H33" s="117" t="s">
        <v>103</v>
      </c>
      <c r="I33" s="117" t="s">
        <v>103</v>
      </c>
      <c r="J33" s="117" t="s">
        <v>103</v>
      </c>
      <c r="K33" s="117" t="s">
        <v>103</v>
      </c>
      <c r="L33" s="117" t="s">
        <v>103</v>
      </c>
      <c r="M33" s="117" t="s">
        <v>103</v>
      </c>
      <c r="N33" s="117" t="s">
        <v>103</v>
      </c>
      <c r="O33" s="117"/>
      <c r="P33" s="118"/>
    </row>
    <row r="34" spans="1:16" s="119" customFormat="1" ht="12.75" x14ac:dyDescent="0.2">
      <c r="A34" s="120" t="s">
        <v>119</v>
      </c>
      <c r="B34" s="89">
        <v>1</v>
      </c>
      <c r="C34" s="180">
        <f t="shared" ref="C34:C41" si="2">D34/B34</f>
        <v>3000</v>
      </c>
      <c r="D34" s="178">
        <v>3000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21"/>
    </row>
    <row r="35" spans="1:16" s="119" customFormat="1" ht="12.75" x14ac:dyDescent="0.2">
      <c r="A35" s="120" t="s">
        <v>120</v>
      </c>
      <c r="B35" s="89">
        <v>10</v>
      </c>
      <c r="C35" s="180">
        <f t="shared" si="2"/>
        <v>1000</v>
      </c>
      <c r="D35" s="178">
        <v>10000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21"/>
    </row>
    <row r="36" spans="1:16" s="119" customFormat="1" ht="12.75" x14ac:dyDescent="0.2">
      <c r="A36" s="120" t="s">
        <v>121</v>
      </c>
      <c r="B36" s="89">
        <v>10</v>
      </c>
      <c r="C36" s="180">
        <f t="shared" si="2"/>
        <v>200</v>
      </c>
      <c r="D36" s="178">
        <v>2000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21"/>
    </row>
    <row r="37" spans="1:16" ht="12.75" x14ac:dyDescent="0.2">
      <c r="A37" s="120" t="s">
        <v>122</v>
      </c>
      <c r="B37" s="100">
        <v>10</v>
      </c>
      <c r="C37" s="180">
        <f t="shared" si="2"/>
        <v>3000</v>
      </c>
      <c r="D37" s="178">
        <v>30000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21"/>
    </row>
    <row r="38" spans="1:16" ht="12.75" x14ac:dyDescent="0.2">
      <c r="A38" s="120" t="s">
        <v>123</v>
      </c>
      <c r="B38" s="100">
        <v>10</v>
      </c>
      <c r="C38" s="180">
        <f t="shared" si="2"/>
        <v>1000</v>
      </c>
      <c r="D38" s="178">
        <v>10000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21"/>
    </row>
    <row r="39" spans="1:16" ht="12.75" x14ac:dyDescent="0.2">
      <c r="A39" s="120" t="s">
        <v>124</v>
      </c>
      <c r="B39" s="100">
        <v>10</v>
      </c>
      <c r="C39" s="180">
        <f t="shared" si="2"/>
        <v>2500</v>
      </c>
      <c r="D39" s="178">
        <v>25000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21"/>
    </row>
    <row r="40" spans="1:16" s="122" customFormat="1" ht="12.75" x14ac:dyDescent="0.2">
      <c r="A40" s="120" t="s">
        <v>125</v>
      </c>
      <c r="B40" s="100">
        <v>4</v>
      </c>
      <c r="C40" s="180">
        <f t="shared" si="2"/>
        <v>1500</v>
      </c>
      <c r="D40" s="178">
        <v>6000</v>
      </c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21"/>
    </row>
    <row r="41" spans="1:16" s="125" customFormat="1" x14ac:dyDescent="0.25">
      <c r="A41" s="120" t="s">
        <v>126</v>
      </c>
      <c r="B41" s="123">
        <v>6</v>
      </c>
      <c r="C41" s="180">
        <f t="shared" si="2"/>
        <v>1500</v>
      </c>
      <c r="D41" s="178">
        <v>9000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4"/>
    </row>
    <row r="42" spans="1:16" s="125" customFormat="1" x14ac:dyDescent="0.25">
      <c r="A42" s="126" t="s">
        <v>110</v>
      </c>
      <c r="B42" s="127"/>
      <c r="C42" s="127"/>
      <c r="D42" s="183">
        <f>SUM(D34:D41)</f>
        <v>95000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4"/>
    </row>
    <row r="43" spans="1:16" s="125" customFormat="1" x14ac:dyDescent="0.25">
      <c r="A43" s="69" t="str">
        <f>'[1]Y2 WORKPLAN'!B11</f>
        <v>2.1   Procure general use teaching and research equipment and lab supplies</v>
      </c>
      <c r="B43" s="128"/>
      <c r="C43" s="128"/>
      <c r="D43" s="18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</row>
    <row r="44" spans="1:16" s="125" customFormat="1" x14ac:dyDescent="0.25">
      <c r="A44" s="130" t="s">
        <v>195</v>
      </c>
      <c r="B44" s="123">
        <v>15</v>
      </c>
      <c r="C44" s="180">
        <f t="shared" ref="C44:C47" si="3">D44/B44</f>
        <v>1000</v>
      </c>
      <c r="D44" s="178">
        <v>15000</v>
      </c>
      <c r="E44" s="131"/>
      <c r="F44" s="131"/>
      <c r="G44" s="131" t="s">
        <v>103</v>
      </c>
      <c r="H44" s="131"/>
      <c r="I44" s="131"/>
      <c r="J44" s="131"/>
      <c r="K44" s="131"/>
      <c r="L44" s="131"/>
      <c r="M44" s="131"/>
      <c r="N44" s="131"/>
      <c r="O44" s="131"/>
      <c r="P44" s="132"/>
    </row>
    <row r="45" spans="1:16" s="125" customFormat="1" x14ac:dyDescent="0.25">
      <c r="A45" s="133" t="s">
        <v>196</v>
      </c>
      <c r="B45" s="123">
        <v>1</v>
      </c>
      <c r="C45" s="180">
        <f t="shared" si="3"/>
        <v>8000</v>
      </c>
      <c r="D45" s="178">
        <v>8000</v>
      </c>
      <c r="E45" s="131" t="s">
        <v>103</v>
      </c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2"/>
    </row>
    <row r="46" spans="1:16" x14ac:dyDescent="0.25">
      <c r="A46" s="97" t="s">
        <v>197</v>
      </c>
      <c r="B46" s="123">
        <v>1</v>
      </c>
      <c r="C46" s="180">
        <f t="shared" si="3"/>
        <v>50000</v>
      </c>
      <c r="D46" s="178">
        <v>50000</v>
      </c>
      <c r="E46" s="6" t="s">
        <v>103</v>
      </c>
      <c r="F46" s="6" t="s">
        <v>103</v>
      </c>
      <c r="G46" s="6" t="s">
        <v>103</v>
      </c>
      <c r="H46" s="6" t="s">
        <v>103</v>
      </c>
      <c r="I46" s="6" t="s">
        <v>103</v>
      </c>
      <c r="J46" s="6" t="s">
        <v>103</v>
      </c>
      <c r="K46" s="6" t="s">
        <v>103</v>
      </c>
      <c r="L46" s="6" t="s">
        <v>103</v>
      </c>
      <c r="M46" s="6" t="s">
        <v>103</v>
      </c>
      <c r="N46" s="6" t="s">
        <v>103</v>
      </c>
      <c r="O46" s="6" t="s">
        <v>103</v>
      </c>
      <c r="P46" s="101" t="s">
        <v>103</v>
      </c>
    </row>
    <row r="47" spans="1:16" x14ac:dyDescent="0.25">
      <c r="A47" s="97" t="s">
        <v>198</v>
      </c>
      <c r="B47" s="123">
        <v>5</v>
      </c>
      <c r="C47" s="180">
        <f t="shared" si="3"/>
        <v>2520</v>
      </c>
      <c r="D47" s="178">
        <v>12600</v>
      </c>
      <c r="E47" s="6"/>
      <c r="F47" s="6"/>
      <c r="G47" s="6" t="s">
        <v>103</v>
      </c>
      <c r="H47" s="6" t="s">
        <v>103</v>
      </c>
      <c r="I47" s="6" t="s">
        <v>103</v>
      </c>
      <c r="J47" s="6" t="s">
        <v>103</v>
      </c>
      <c r="K47" s="6"/>
      <c r="L47" s="6"/>
      <c r="M47" s="6"/>
      <c r="N47" s="6"/>
      <c r="O47" s="6"/>
      <c r="P47" s="101"/>
    </row>
    <row r="48" spans="1:16" x14ac:dyDescent="0.25">
      <c r="A48" s="126" t="s">
        <v>110</v>
      </c>
      <c r="B48" s="127"/>
      <c r="C48" s="127"/>
      <c r="D48" s="183">
        <f>SUM(D44:D47)</f>
        <v>85600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01"/>
    </row>
    <row r="49" spans="1:16" ht="12.75" x14ac:dyDescent="0.2">
      <c r="A49" s="134" t="str">
        <f>'[1]Y2 WORKPLAN'!B12</f>
        <v>2.2   Core team to lead public health and herbal medicine research</v>
      </c>
      <c r="B49" s="117"/>
      <c r="C49" s="117"/>
      <c r="D49" s="188"/>
      <c r="E49" s="117" t="s">
        <v>103</v>
      </c>
      <c r="F49" s="117" t="s">
        <v>103</v>
      </c>
      <c r="G49" s="117" t="s">
        <v>103</v>
      </c>
      <c r="H49" s="117" t="s">
        <v>103</v>
      </c>
      <c r="I49" s="117" t="s">
        <v>103</v>
      </c>
      <c r="J49" s="117" t="s">
        <v>103</v>
      </c>
      <c r="K49" s="117" t="s">
        <v>103</v>
      </c>
      <c r="L49" s="117" t="s">
        <v>103</v>
      </c>
      <c r="M49" s="117" t="s">
        <v>103</v>
      </c>
      <c r="N49" s="117" t="s">
        <v>103</v>
      </c>
      <c r="O49" s="117" t="s">
        <v>103</v>
      </c>
      <c r="P49" s="118" t="s">
        <v>103</v>
      </c>
    </row>
    <row r="50" spans="1:16" ht="12.75" x14ac:dyDescent="0.2">
      <c r="A50" s="133" t="s">
        <v>199</v>
      </c>
      <c r="B50" s="100">
        <v>4</v>
      </c>
      <c r="C50" s="180">
        <v>11200</v>
      </c>
      <c r="D50" s="178">
        <f>B50*C50</f>
        <v>44800</v>
      </c>
      <c r="E50" s="190"/>
      <c r="F50" s="190"/>
      <c r="G50" s="190"/>
      <c r="H50" s="100"/>
      <c r="I50" s="100"/>
      <c r="J50" s="100"/>
      <c r="K50" s="100"/>
      <c r="L50" s="100"/>
      <c r="M50" s="100"/>
      <c r="N50" s="100"/>
      <c r="O50" s="100"/>
      <c r="P50" s="121"/>
    </row>
    <row r="51" spans="1:16" ht="12.75" x14ac:dyDescent="0.2">
      <c r="A51" s="133" t="s">
        <v>200</v>
      </c>
      <c r="B51" s="100">
        <v>1</v>
      </c>
      <c r="C51" s="180">
        <v>26500</v>
      </c>
      <c r="D51" s="178">
        <f>B51*C51</f>
        <v>26500</v>
      </c>
      <c r="E51" s="190"/>
      <c r="F51" s="190"/>
      <c r="G51" s="190"/>
      <c r="H51" s="100"/>
      <c r="I51" s="100"/>
      <c r="J51" s="100"/>
      <c r="K51" s="100"/>
      <c r="L51" s="100"/>
      <c r="M51" s="100"/>
      <c r="N51" s="100"/>
      <c r="O51" s="100"/>
      <c r="P51" s="121"/>
    </row>
    <row r="52" spans="1:16" ht="12.75" x14ac:dyDescent="0.2">
      <c r="A52" s="191" t="s">
        <v>201</v>
      </c>
      <c r="B52" s="100">
        <v>1</v>
      </c>
      <c r="C52" s="180">
        <v>30000</v>
      </c>
      <c r="D52" s="178">
        <f>B52*C52</f>
        <v>30000</v>
      </c>
      <c r="E52" s="190"/>
      <c r="F52" s="190"/>
      <c r="G52" s="190"/>
      <c r="H52" s="100"/>
      <c r="I52" s="100"/>
      <c r="J52" s="100"/>
      <c r="K52" s="100"/>
      <c r="L52" s="100"/>
      <c r="M52" s="100"/>
      <c r="N52" s="100"/>
      <c r="O52" s="100"/>
      <c r="P52" s="121"/>
    </row>
    <row r="53" spans="1:16" x14ac:dyDescent="0.25">
      <c r="A53" s="135" t="s">
        <v>110</v>
      </c>
      <c r="B53" s="136"/>
      <c r="C53" s="136"/>
      <c r="D53" s="183">
        <f>SUM(D50:D52)</f>
        <v>101300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01"/>
    </row>
    <row r="54" spans="1:16" ht="12.75" x14ac:dyDescent="0.2">
      <c r="A54" s="134" t="str">
        <f>'[1]Y2 WORKPLAN'!B13</f>
        <v xml:space="preserve">2.3    Field site monitoring and support and vehicle maintenance </v>
      </c>
      <c r="B54" s="117"/>
      <c r="C54" s="117"/>
      <c r="D54" s="188"/>
      <c r="E54" s="117" t="s">
        <v>103</v>
      </c>
      <c r="F54" s="117" t="s">
        <v>103</v>
      </c>
      <c r="G54" s="117" t="s">
        <v>103</v>
      </c>
      <c r="H54" s="117" t="s">
        <v>103</v>
      </c>
      <c r="I54" s="117" t="s">
        <v>103</v>
      </c>
      <c r="J54" s="117" t="s">
        <v>103</v>
      </c>
      <c r="K54" s="117" t="s">
        <v>103</v>
      </c>
      <c r="L54" s="117" t="s">
        <v>103</v>
      </c>
      <c r="M54" s="117" t="s">
        <v>103</v>
      </c>
      <c r="N54" s="117" t="s">
        <v>103</v>
      </c>
      <c r="O54" s="117" t="s">
        <v>103</v>
      </c>
      <c r="P54" s="118" t="s">
        <v>103</v>
      </c>
    </row>
    <row r="55" spans="1:16" ht="12.75" x14ac:dyDescent="0.2">
      <c r="A55" s="133" t="s">
        <v>127</v>
      </c>
      <c r="B55" s="100">
        <v>2</v>
      </c>
      <c r="C55" s="180">
        <v>5300</v>
      </c>
      <c r="D55" s="178">
        <f>C55*B55</f>
        <v>10600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01"/>
    </row>
    <row r="56" spans="1:16" ht="12.75" x14ac:dyDescent="0.2">
      <c r="A56" s="133" t="s">
        <v>202</v>
      </c>
      <c r="B56" s="100">
        <v>4</v>
      </c>
      <c r="C56" s="180">
        <v>6000</v>
      </c>
      <c r="D56" s="178">
        <f>B56*C56</f>
        <v>24000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01"/>
    </row>
    <row r="57" spans="1:16" x14ac:dyDescent="0.25">
      <c r="A57" s="135" t="s">
        <v>110</v>
      </c>
      <c r="B57" s="136"/>
      <c r="C57" s="136"/>
      <c r="D57" s="183">
        <f>SUM(D55:D56)</f>
        <v>34600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01"/>
    </row>
    <row r="58" spans="1:16" ht="12.75" x14ac:dyDescent="0.2">
      <c r="A58" s="134" t="str">
        <f>'[1]Y2 WORKPLAN'!B14</f>
        <v>2.4    Facilitating international conference presentations and manuscript publication</v>
      </c>
      <c r="B58" s="117"/>
      <c r="C58" s="117"/>
      <c r="D58" s="188"/>
      <c r="E58" s="117"/>
      <c r="F58" s="117"/>
      <c r="G58" s="117" t="s">
        <v>103</v>
      </c>
      <c r="H58" s="117" t="s">
        <v>103</v>
      </c>
      <c r="I58" s="117" t="s">
        <v>103</v>
      </c>
      <c r="J58" s="117" t="s">
        <v>103</v>
      </c>
      <c r="K58" s="117" t="s">
        <v>103</v>
      </c>
      <c r="L58" s="117" t="s">
        <v>103</v>
      </c>
      <c r="M58" s="117" t="s">
        <v>103</v>
      </c>
      <c r="N58" s="117" t="s">
        <v>103</v>
      </c>
      <c r="O58" s="117" t="s">
        <v>103</v>
      </c>
      <c r="P58" s="118" t="s">
        <v>103</v>
      </c>
    </row>
    <row r="59" spans="1:16" ht="12.75" x14ac:dyDescent="0.2">
      <c r="A59" s="133" t="s">
        <v>128</v>
      </c>
      <c r="B59" s="100">
        <v>3</v>
      </c>
      <c r="C59" s="180">
        <v>1000</v>
      </c>
      <c r="D59" s="178">
        <f>B59*C59</f>
        <v>3000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01"/>
    </row>
    <row r="60" spans="1:16" ht="12.75" x14ac:dyDescent="0.2">
      <c r="A60" s="133" t="s">
        <v>129</v>
      </c>
      <c r="B60" s="100">
        <v>3</v>
      </c>
      <c r="C60" s="180">
        <v>1300</v>
      </c>
      <c r="D60" s="178">
        <f t="shared" ref="D60:D63" si="4">B60*C60</f>
        <v>3900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01"/>
    </row>
    <row r="61" spans="1:16" ht="12.75" x14ac:dyDescent="0.2">
      <c r="A61" s="133" t="s">
        <v>130</v>
      </c>
      <c r="B61" s="100">
        <v>10</v>
      </c>
      <c r="C61" s="180">
        <v>300</v>
      </c>
      <c r="D61" s="178">
        <f t="shared" si="4"/>
        <v>3000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101"/>
    </row>
    <row r="62" spans="1:16" ht="12.75" x14ac:dyDescent="0.2">
      <c r="A62" s="133" t="s">
        <v>131</v>
      </c>
      <c r="B62" s="100">
        <v>10</v>
      </c>
      <c r="C62" s="180">
        <v>200</v>
      </c>
      <c r="D62" s="178">
        <f t="shared" si="4"/>
        <v>2000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01"/>
    </row>
    <row r="63" spans="1:16" ht="12.75" x14ac:dyDescent="0.2">
      <c r="A63" s="137" t="s">
        <v>132</v>
      </c>
      <c r="B63" s="138">
        <v>5</v>
      </c>
      <c r="C63" s="180">
        <v>1000</v>
      </c>
      <c r="D63" s="178">
        <f t="shared" si="4"/>
        <v>5000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101"/>
    </row>
    <row r="64" spans="1:16" x14ac:dyDescent="0.25">
      <c r="A64" s="135" t="s">
        <v>110</v>
      </c>
      <c r="B64" s="136"/>
      <c r="C64" s="136"/>
      <c r="D64" s="183">
        <f>SUM(D59:D63)</f>
        <v>16900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101"/>
    </row>
    <row r="65" spans="1:17" ht="12.75" x14ac:dyDescent="0.2">
      <c r="A65" s="69" t="str">
        <f>'[1]Y2 WORKPLAN'!B17</f>
        <v>3.1    Education outreach program</v>
      </c>
      <c r="B65" s="117"/>
      <c r="C65" s="117"/>
      <c r="D65" s="188"/>
      <c r="E65" s="117"/>
      <c r="F65" s="117"/>
      <c r="G65" s="117" t="s">
        <v>103</v>
      </c>
      <c r="H65" s="117"/>
      <c r="I65" s="117" t="s">
        <v>103</v>
      </c>
      <c r="J65" s="117" t="s">
        <v>103</v>
      </c>
      <c r="K65" s="117" t="s">
        <v>103</v>
      </c>
      <c r="L65" s="117"/>
      <c r="M65" s="117" t="s">
        <v>103</v>
      </c>
      <c r="N65" s="117" t="s">
        <v>103</v>
      </c>
      <c r="O65" s="117" t="s">
        <v>103</v>
      </c>
      <c r="P65" s="118"/>
    </row>
    <row r="66" spans="1:17" ht="12.75" x14ac:dyDescent="0.2">
      <c r="A66" s="141" t="s">
        <v>133</v>
      </c>
      <c r="B66" s="100">
        <v>1</v>
      </c>
      <c r="C66" s="180">
        <v>2000</v>
      </c>
      <c r="D66" s="178">
        <f>B66*C66</f>
        <v>2000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01"/>
    </row>
    <row r="67" spans="1:17" ht="12.75" x14ac:dyDescent="0.2">
      <c r="A67" s="141" t="s">
        <v>134</v>
      </c>
      <c r="B67" s="100">
        <v>5</v>
      </c>
      <c r="C67" s="180">
        <v>530</v>
      </c>
      <c r="D67" s="178">
        <f t="shared" ref="D67:D69" si="5">B67*C67</f>
        <v>2650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21"/>
      <c r="Q67" s="119"/>
    </row>
    <row r="68" spans="1:17" ht="12.75" x14ac:dyDescent="0.2">
      <c r="A68" s="141" t="s">
        <v>135</v>
      </c>
      <c r="B68" s="100">
        <v>1</v>
      </c>
      <c r="C68" s="180">
        <v>1200</v>
      </c>
      <c r="D68" s="178">
        <f t="shared" si="5"/>
        <v>1200</v>
      </c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21"/>
      <c r="Q68" s="119"/>
    </row>
    <row r="69" spans="1:17" ht="12.75" x14ac:dyDescent="0.2">
      <c r="A69" s="141" t="s">
        <v>136</v>
      </c>
      <c r="B69" s="100">
        <v>1</v>
      </c>
      <c r="C69" s="180">
        <v>2000</v>
      </c>
      <c r="D69" s="178">
        <f t="shared" si="5"/>
        <v>2000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101"/>
    </row>
    <row r="70" spans="1:17" x14ac:dyDescent="0.25">
      <c r="A70" s="142" t="s">
        <v>110</v>
      </c>
      <c r="B70" s="136"/>
      <c r="C70" s="136"/>
      <c r="D70" s="183">
        <f>SUM(D66:D69)</f>
        <v>7850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101"/>
    </row>
    <row r="71" spans="1:17" ht="12.75" x14ac:dyDescent="0.2">
      <c r="A71" s="69" t="str">
        <f>'[1]Y2 WORKPLAN'!B18</f>
        <v>3.2    Facilitating national and regional student and faculty exchange program</v>
      </c>
      <c r="B71" s="117"/>
      <c r="C71" s="117"/>
      <c r="D71" s="188"/>
      <c r="E71" s="117"/>
      <c r="F71" s="117"/>
      <c r="G71" s="117"/>
      <c r="H71" s="117"/>
      <c r="I71" s="117" t="s">
        <v>103</v>
      </c>
      <c r="J71" s="117" t="s">
        <v>103</v>
      </c>
      <c r="K71" s="117" t="s">
        <v>103</v>
      </c>
      <c r="L71" s="117" t="s">
        <v>103</v>
      </c>
      <c r="M71" s="117" t="s">
        <v>103</v>
      </c>
      <c r="N71" s="117" t="s">
        <v>103</v>
      </c>
      <c r="O71" s="117"/>
      <c r="P71" s="118"/>
    </row>
    <row r="72" spans="1:17" ht="12.75" x14ac:dyDescent="0.2">
      <c r="A72" s="133" t="s">
        <v>137</v>
      </c>
      <c r="B72" s="100">
        <v>8</v>
      </c>
      <c r="C72" s="180">
        <v>2500</v>
      </c>
      <c r="D72" s="178">
        <f>B72*C72</f>
        <v>20000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101"/>
    </row>
    <row r="73" spans="1:17" ht="12.75" x14ac:dyDescent="0.2">
      <c r="A73" s="133" t="s">
        <v>138</v>
      </c>
      <c r="B73" s="100">
        <v>8</v>
      </c>
      <c r="C73" s="180">
        <v>1500</v>
      </c>
      <c r="D73" s="178">
        <f>B73*C73</f>
        <v>12000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101"/>
    </row>
    <row r="74" spans="1:17" x14ac:dyDescent="0.25">
      <c r="A74" s="135" t="s">
        <v>110</v>
      </c>
      <c r="B74" s="136"/>
      <c r="C74" s="136"/>
      <c r="D74" s="183">
        <f>SUM(D72:D73)</f>
        <v>32000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101"/>
    </row>
    <row r="75" spans="1:17" x14ac:dyDescent="0.25">
      <c r="A75" s="143" t="str">
        <f>'[1]Y2 WORKPLAN'!B19</f>
        <v>3.3 Proposal development for possible funding (External revenue generation)</v>
      </c>
      <c r="B75" s="139"/>
      <c r="C75" s="139"/>
      <c r="D75" s="179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8"/>
    </row>
    <row r="76" spans="1:17" s="119" customFormat="1" ht="12.75" x14ac:dyDescent="0.2">
      <c r="A76" s="140" t="s">
        <v>139</v>
      </c>
      <c r="B76" s="144">
        <v>20</v>
      </c>
      <c r="C76" s="180">
        <v>500</v>
      </c>
      <c r="D76" s="178">
        <f>B76*C76</f>
        <v>10000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21"/>
    </row>
    <row r="77" spans="1:17" s="119" customFormat="1" ht="12.75" x14ac:dyDescent="0.2">
      <c r="A77" s="140" t="s">
        <v>140</v>
      </c>
      <c r="B77" s="144">
        <v>3</v>
      </c>
      <c r="C77" s="180">
        <v>2500</v>
      </c>
      <c r="D77" s="178">
        <f t="shared" ref="D77:D78" si="6">B77*C77</f>
        <v>7500</v>
      </c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21"/>
    </row>
    <row r="78" spans="1:17" s="119" customFormat="1" ht="12.75" x14ac:dyDescent="0.2">
      <c r="A78" s="140" t="s">
        <v>141</v>
      </c>
      <c r="B78" s="144">
        <v>3</v>
      </c>
      <c r="C78" s="180">
        <v>1500</v>
      </c>
      <c r="D78" s="178">
        <f t="shared" si="6"/>
        <v>4500</v>
      </c>
      <c r="E78" s="145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21"/>
    </row>
    <row r="79" spans="1:17" x14ac:dyDescent="0.25">
      <c r="A79" s="135" t="s">
        <v>142</v>
      </c>
      <c r="B79" s="136"/>
      <c r="C79" s="136"/>
      <c r="D79" s="183">
        <f>SUM(D76:D78)</f>
        <v>22000</v>
      </c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7"/>
    </row>
    <row r="80" spans="1:17" s="149" customFormat="1" x14ac:dyDescent="0.25">
      <c r="A80" s="148" t="s">
        <v>143</v>
      </c>
      <c r="B80" s="192">
        <v>2</v>
      </c>
      <c r="C80" s="180">
        <f t="shared" ref="C80" si="7">D80/B80</f>
        <v>10000</v>
      </c>
      <c r="D80" s="179">
        <v>20000</v>
      </c>
      <c r="E80" s="117"/>
      <c r="F80" s="117"/>
      <c r="G80" s="117"/>
      <c r="H80" s="117"/>
      <c r="I80" s="117"/>
      <c r="J80" s="117"/>
      <c r="K80" s="117"/>
      <c r="L80" s="117"/>
      <c r="M80" s="117" t="s">
        <v>103</v>
      </c>
      <c r="N80" s="117"/>
      <c r="O80" s="117"/>
      <c r="P80" s="118"/>
    </row>
    <row r="81" spans="1:16" s="119" customFormat="1" x14ac:dyDescent="0.25">
      <c r="A81" s="150"/>
      <c r="B81" s="151"/>
      <c r="C81" s="151"/>
      <c r="D81" s="189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21"/>
    </row>
    <row r="82" spans="1:16" ht="12.75" x14ac:dyDescent="0.2">
      <c r="A82" s="69" t="str">
        <f>'[1]Y2 WORKPLAN'!B22</f>
        <v>4.1     International Academic Partners monitoring and support</v>
      </c>
      <c r="B82" s="117"/>
      <c r="C82" s="117"/>
      <c r="D82" s="188"/>
      <c r="E82" s="117"/>
      <c r="F82" s="117"/>
      <c r="G82" s="117"/>
      <c r="H82" s="117" t="s">
        <v>103</v>
      </c>
      <c r="I82" s="117" t="s">
        <v>103</v>
      </c>
      <c r="J82" s="117" t="s">
        <v>103</v>
      </c>
      <c r="K82" s="117" t="s">
        <v>103</v>
      </c>
      <c r="L82" s="117" t="s">
        <v>103</v>
      </c>
      <c r="M82" s="117" t="s">
        <v>103</v>
      </c>
      <c r="N82" s="117" t="s">
        <v>103</v>
      </c>
      <c r="O82" s="117" t="s">
        <v>103</v>
      </c>
      <c r="P82" s="118" t="s">
        <v>103</v>
      </c>
    </row>
    <row r="83" spans="1:16" ht="12.75" x14ac:dyDescent="0.2">
      <c r="A83" s="133" t="s">
        <v>144</v>
      </c>
      <c r="B83" s="100">
        <v>4</v>
      </c>
      <c r="C83" s="180">
        <v>1500</v>
      </c>
      <c r="D83" s="178">
        <f>B83*C83</f>
        <v>6000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101"/>
    </row>
    <row r="84" spans="1:16" ht="12.75" x14ac:dyDescent="0.2">
      <c r="A84" s="133" t="s">
        <v>145</v>
      </c>
      <c r="B84" s="100">
        <v>4</v>
      </c>
      <c r="C84" s="180">
        <v>2000</v>
      </c>
      <c r="D84" s="178">
        <f t="shared" ref="D84:D86" si="8">B84*C84</f>
        <v>8000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101"/>
    </row>
    <row r="85" spans="1:16" ht="12.75" x14ac:dyDescent="0.2">
      <c r="A85" s="133" t="s">
        <v>146</v>
      </c>
      <c r="B85" s="100">
        <v>4</v>
      </c>
      <c r="C85" s="180">
        <v>2500</v>
      </c>
      <c r="D85" s="178">
        <f t="shared" si="8"/>
        <v>10000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101"/>
    </row>
    <row r="86" spans="1:16" ht="12.75" x14ac:dyDescent="0.2">
      <c r="A86" s="133" t="s">
        <v>147</v>
      </c>
      <c r="B86" s="100">
        <v>4</v>
      </c>
      <c r="C86" s="180">
        <v>2500</v>
      </c>
      <c r="D86" s="178">
        <f t="shared" si="8"/>
        <v>10000</v>
      </c>
      <c r="E86" s="6"/>
      <c r="F86" s="152"/>
      <c r="G86" s="6"/>
      <c r="H86" s="6"/>
      <c r="I86" s="152"/>
      <c r="J86" s="6"/>
      <c r="K86" s="6"/>
      <c r="L86" s="6"/>
      <c r="M86" s="6"/>
      <c r="N86" s="6"/>
      <c r="O86" s="6"/>
      <c r="P86" s="101"/>
    </row>
    <row r="87" spans="1:16" x14ac:dyDescent="0.25">
      <c r="A87" s="135" t="s">
        <v>110</v>
      </c>
      <c r="B87" s="136"/>
      <c r="C87" s="136"/>
      <c r="D87" s="183">
        <f>SUM(D83:D86)</f>
        <v>34000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101"/>
    </row>
    <row r="88" spans="1:16" x14ac:dyDescent="0.25">
      <c r="A88" s="153" t="str">
        <f>'[1]Y2 WORKPLAN'!B23</f>
        <v>4.2 MOU signing and joint Implementation Planning meeting</v>
      </c>
      <c r="B88" s="136"/>
      <c r="C88" s="136"/>
      <c r="D88" s="18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101"/>
    </row>
    <row r="89" spans="1:16" s="119" customFormat="1" x14ac:dyDescent="0.25">
      <c r="A89" s="140" t="s">
        <v>148</v>
      </c>
      <c r="B89" s="193">
        <v>2</v>
      </c>
      <c r="C89" s="180">
        <v>4000</v>
      </c>
      <c r="D89" s="178">
        <f>B89*C89</f>
        <v>8000</v>
      </c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21"/>
    </row>
    <row r="90" spans="1:16" s="119" customFormat="1" x14ac:dyDescent="0.25">
      <c r="A90" s="154" t="s">
        <v>149</v>
      </c>
      <c r="B90" s="193">
        <v>3</v>
      </c>
      <c r="C90" s="180">
        <v>500</v>
      </c>
      <c r="D90" s="178">
        <f t="shared" ref="D90:D92" si="9">B90*C90</f>
        <v>1500</v>
      </c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21"/>
    </row>
    <row r="91" spans="1:16" s="119" customFormat="1" x14ac:dyDescent="0.25">
      <c r="A91" s="154" t="s">
        <v>150</v>
      </c>
      <c r="B91" s="193">
        <v>10</v>
      </c>
      <c r="C91" s="180">
        <v>200</v>
      </c>
      <c r="D91" s="178">
        <f t="shared" si="9"/>
        <v>2000</v>
      </c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21"/>
    </row>
    <row r="92" spans="1:16" s="119" customFormat="1" x14ac:dyDescent="0.25">
      <c r="A92" s="154" t="s">
        <v>151</v>
      </c>
      <c r="B92" s="193">
        <v>10</v>
      </c>
      <c r="C92" s="180">
        <v>4000</v>
      </c>
      <c r="D92" s="178">
        <f t="shared" si="9"/>
        <v>40000</v>
      </c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21"/>
    </row>
    <row r="93" spans="1:16" x14ac:dyDescent="0.25">
      <c r="A93" s="135" t="s">
        <v>118</v>
      </c>
      <c r="B93" s="136"/>
      <c r="C93" s="136"/>
      <c r="D93" s="183">
        <f>SUM(D89:D92)</f>
        <v>51500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101"/>
    </row>
    <row r="94" spans="1:16" x14ac:dyDescent="0.25">
      <c r="A94" s="153" t="str">
        <f>'[1]Y2 WORKPLAN'!B24</f>
        <v xml:space="preserve">4.3 Partner implementation plan bi-Annual review meeting </v>
      </c>
      <c r="B94" s="136"/>
      <c r="C94" s="136"/>
      <c r="D94" s="183"/>
      <c r="E94" s="117"/>
      <c r="F94" s="117"/>
      <c r="G94" s="117"/>
      <c r="H94" s="117"/>
      <c r="I94" s="117"/>
      <c r="J94" s="117" t="s">
        <v>103</v>
      </c>
      <c r="K94" s="117"/>
      <c r="L94" s="117"/>
      <c r="M94" s="117"/>
      <c r="N94" s="117"/>
      <c r="O94" s="117"/>
      <c r="P94" s="118" t="s">
        <v>103</v>
      </c>
    </row>
    <row r="95" spans="1:16" s="119" customFormat="1" ht="12.75" x14ac:dyDescent="0.2">
      <c r="A95" s="140" t="s">
        <v>152</v>
      </c>
      <c r="B95" s="144">
        <v>1</v>
      </c>
      <c r="C95" s="180">
        <v>4000</v>
      </c>
      <c r="D95" s="178">
        <f>B95*C95</f>
        <v>4000</v>
      </c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21"/>
    </row>
    <row r="96" spans="1:16" s="119" customFormat="1" ht="12.75" x14ac:dyDescent="0.2">
      <c r="A96" s="154" t="s">
        <v>153</v>
      </c>
      <c r="B96" s="144">
        <v>3</v>
      </c>
      <c r="C96" s="180">
        <v>500</v>
      </c>
      <c r="D96" s="178">
        <f t="shared" ref="D96:D98" si="10">B96*C96</f>
        <v>1500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21"/>
    </row>
    <row r="97" spans="1:20" s="119" customFormat="1" ht="12.75" x14ac:dyDescent="0.2">
      <c r="A97" s="154" t="s">
        <v>154</v>
      </c>
      <c r="B97" s="144">
        <v>1</v>
      </c>
      <c r="C97" s="180">
        <v>1000</v>
      </c>
      <c r="D97" s="178">
        <f t="shared" si="10"/>
        <v>1000</v>
      </c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21"/>
    </row>
    <row r="98" spans="1:20" s="119" customFormat="1" ht="12.75" x14ac:dyDescent="0.2">
      <c r="A98" s="154" t="s">
        <v>155</v>
      </c>
      <c r="B98" s="144">
        <v>10</v>
      </c>
      <c r="C98" s="180">
        <v>150</v>
      </c>
      <c r="D98" s="178">
        <f t="shared" si="10"/>
        <v>1500</v>
      </c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21"/>
    </row>
    <row r="99" spans="1:20" x14ac:dyDescent="0.25">
      <c r="A99" s="135" t="s">
        <v>118</v>
      </c>
      <c r="B99" s="136"/>
      <c r="C99" s="136"/>
      <c r="D99" s="183">
        <f>SUM(D95:D98)</f>
        <v>8000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101"/>
    </row>
    <row r="100" spans="1:20" ht="12.75" x14ac:dyDescent="0.2">
      <c r="A100" s="155" t="str">
        <f>'[1]Y2 WORKPLAN'!B26</f>
        <v>5.1    Project meetings conducted</v>
      </c>
      <c r="B100" s="117"/>
      <c r="C100" s="117"/>
      <c r="D100" s="188"/>
      <c r="E100" s="117" t="s">
        <v>103</v>
      </c>
      <c r="F100" s="117" t="s">
        <v>103</v>
      </c>
      <c r="G100" s="117" t="s">
        <v>103</v>
      </c>
      <c r="H100" s="117" t="s">
        <v>103</v>
      </c>
      <c r="I100" s="117" t="s">
        <v>103</v>
      </c>
      <c r="J100" s="117" t="s">
        <v>103</v>
      </c>
      <c r="K100" s="117" t="s">
        <v>103</v>
      </c>
      <c r="L100" s="117" t="s">
        <v>103</v>
      </c>
      <c r="M100" s="117" t="s">
        <v>103</v>
      </c>
      <c r="N100" s="117" t="s">
        <v>103</v>
      </c>
      <c r="O100" s="117" t="s">
        <v>103</v>
      </c>
      <c r="P100" s="118" t="s">
        <v>103</v>
      </c>
    </row>
    <row r="101" spans="1:20" ht="12.75" x14ac:dyDescent="0.2">
      <c r="A101" s="141" t="s">
        <v>156</v>
      </c>
      <c r="B101" s="100">
        <v>2</v>
      </c>
      <c r="C101" s="180">
        <f t="shared" ref="C101:C106" si="11">D101/B101</f>
        <v>13333</v>
      </c>
      <c r="D101" s="178">
        <v>26666</v>
      </c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21"/>
      <c r="Q101" s="119"/>
      <c r="R101" s="119"/>
      <c r="S101" s="119"/>
      <c r="T101" s="119"/>
    </row>
    <row r="102" spans="1:20" ht="12.75" x14ac:dyDescent="0.2">
      <c r="A102" s="141" t="s">
        <v>157</v>
      </c>
      <c r="B102" s="100">
        <v>2</v>
      </c>
      <c r="C102" s="180">
        <f t="shared" si="11"/>
        <v>3200</v>
      </c>
      <c r="D102" s="178">
        <v>6400</v>
      </c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21"/>
      <c r="Q102" s="119"/>
      <c r="R102" s="119"/>
      <c r="S102" s="119"/>
      <c r="T102" s="119"/>
    </row>
    <row r="103" spans="1:20" ht="12.75" x14ac:dyDescent="0.2">
      <c r="A103" s="141" t="s">
        <v>158</v>
      </c>
      <c r="B103" s="100">
        <v>2</v>
      </c>
      <c r="C103" s="180">
        <f t="shared" si="11"/>
        <v>1400</v>
      </c>
      <c r="D103" s="178">
        <v>2800</v>
      </c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21"/>
      <c r="Q103" s="119"/>
      <c r="R103" s="119"/>
      <c r="S103" s="119"/>
      <c r="T103" s="119"/>
    </row>
    <row r="104" spans="1:20" ht="12.75" x14ac:dyDescent="0.2">
      <c r="A104" s="141" t="s">
        <v>159</v>
      </c>
      <c r="B104" s="100">
        <v>2</v>
      </c>
      <c r="C104" s="180">
        <f t="shared" si="11"/>
        <v>1500</v>
      </c>
      <c r="D104" s="178">
        <v>3000</v>
      </c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21"/>
      <c r="Q104" s="119"/>
      <c r="R104" s="119"/>
      <c r="S104" s="119"/>
      <c r="T104" s="119"/>
    </row>
    <row r="105" spans="1:20" ht="12.75" x14ac:dyDescent="0.2">
      <c r="A105" s="141" t="s">
        <v>160</v>
      </c>
      <c r="B105" s="100">
        <v>2</v>
      </c>
      <c r="C105" s="180">
        <f t="shared" si="11"/>
        <v>4000</v>
      </c>
      <c r="D105" s="178">
        <v>8000</v>
      </c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21"/>
      <c r="Q105" s="119"/>
      <c r="R105" s="119"/>
      <c r="S105" s="119"/>
      <c r="T105" s="119"/>
    </row>
    <row r="106" spans="1:20" ht="12.75" x14ac:dyDescent="0.2">
      <c r="A106" s="156" t="s">
        <v>161</v>
      </c>
      <c r="B106" s="100">
        <v>2</v>
      </c>
      <c r="C106" s="180">
        <f t="shared" si="11"/>
        <v>15000</v>
      </c>
      <c r="D106" s="178">
        <v>30000</v>
      </c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21"/>
      <c r="Q106" s="119"/>
      <c r="R106" s="119"/>
      <c r="S106" s="119"/>
      <c r="T106" s="119"/>
    </row>
    <row r="107" spans="1:20" ht="12.75" x14ac:dyDescent="0.2">
      <c r="A107" s="157"/>
      <c r="B107" s="100"/>
      <c r="C107" s="100"/>
      <c r="D107" s="178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21"/>
      <c r="Q107" s="119"/>
      <c r="R107" s="119"/>
      <c r="S107" s="119"/>
      <c r="T107" s="119"/>
    </row>
    <row r="108" spans="1:20" ht="12.75" x14ac:dyDescent="0.2">
      <c r="A108" s="141" t="s">
        <v>162</v>
      </c>
      <c r="B108" s="100">
        <v>10</v>
      </c>
      <c r="C108" s="180">
        <v>400</v>
      </c>
      <c r="D108" s="178">
        <f>B108*C108</f>
        <v>4000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21"/>
      <c r="Q108" s="119"/>
      <c r="R108" s="119"/>
      <c r="S108" s="119"/>
      <c r="T108" s="119"/>
    </row>
    <row r="109" spans="1:20" ht="12.75" x14ac:dyDescent="0.2">
      <c r="A109" s="141" t="s">
        <v>163</v>
      </c>
      <c r="B109" s="100">
        <v>10</v>
      </c>
      <c r="C109" s="180">
        <v>300</v>
      </c>
      <c r="D109" s="178">
        <f t="shared" ref="D109:D110" si="12">B109*C109</f>
        <v>3000</v>
      </c>
      <c r="E109" s="145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21"/>
      <c r="Q109" s="119"/>
      <c r="R109" s="119"/>
      <c r="S109" s="119"/>
      <c r="T109" s="119"/>
    </row>
    <row r="110" spans="1:20" ht="12.75" x14ac:dyDescent="0.2">
      <c r="A110" s="141" t="s">
        <v>164</v>
      </c>
      <c r="B110" s="100">
        <v>1</v>
      </c>
      <c r="C110" s="180">
        <v>1000</v>
      </c>
      <c r="D110" s="178">
        <f t="shared" si="12"/>
        <v>1000</v>
      </c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21"/>
      <c r="Q110" s="119"/>
      <c r="R110" s="119"/>
      <c r="S110" s="119"/>
      <c r="T110" s="119"/>
    </row>
    <row r="111" spans="1:20" ht="12.75" x14ac:dyDescent="0.2">
      <c r="A111" s="141"/>
      <c r="B111" s="100"/>
      <c r="C111" s="100"/>
      <c r="D111" s="178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21"/>
      <c r="Q111" s="119"/>
      <c r="R111" s="119"/>
      <c r="S111" s="119"/>
      <c r="T111" s="119"/>
    </row>
    <row r="112" spans="1:20" ht="12.75" x14ac:dyDescent="0.2">
      <c r="A112" s="141" t="s">
        <v>165</v>
      </c>
      <c r="B112" s="100">
        <v>5</v>
      </c>
      <c r="C112" s="180">
        <v>400</v>
      </c>
      <c r="D112" s="178">
        <f>B112*C112</f>
        <v>2000</v>
      </c>
      <c r="E112" s="33"/>
      <c r="F112" s="33"/>
      <c r="G112" s="6"/>
      <c r="H112" s="6"/>
      <c r="I112" s="6"/>
      <c r="J112" s="6"/>
      <c r="K112" s="6"/>
      <c r="L112" s="6"/>
      <c r="M112" s="6"/>
      <c r="N112" s="6"/>
      <c r="O112" s="6"/>
      <c r="P112" s="101"/>
    </row>
    <row r="113" spans="1:16" ht="12.75" x14ac:dyDescent="0.2">
      <c r="A113" s="141" t="s">
        <v>166</v>
      </c>
      <c r="B113" s="100">
        <v>1</v>
      </c>
      <c r="C113" s="180">
        <v>400</v>
      </c>
      <c r="D113" s="178">
        <f t="shared" ref="D113" si="13">B113*C113</f>
        <v>400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101"/>
    </row>
    <row r="114" spans="1:16" ht="12.75" x14ac:dyDescent="0.2">
      <c r="A114" s="141" t="s">
        <v>167</v>
      </c>
      <c r="B114" s="100"/>
      <c r="C114" s="180"/>
      <c r="D114" s="178">
        <f>26734</f>
        <v>26734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101"/>
    </row>
    <row r="115" spans="1:16" ht="12.75" x14ac:dyDescent="0.2">
      <c r="A115" s="141" t="s">
        <v>168</v>
      </c>
      <c r="B115" s="100">
        <v>8</v>
      </c>
      <c r="C115" s="180">
        <v>600</v>
      </c>
      <c r="D115" s="178">
        <f>B115*C115</f>
        <v>4800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101"/>
    </row>
    <row r="116" spans="1:16" ht="12.75" x14ac:dyDescent="0.2">
      <c r="A116" s="141"/>
      <c r="B116" s="100"/>
      <c r="C116" s="100"/>
      <c r="D116" s="178">
        <f t="shared" ref="D116:D121" si="14">B116*C116</f>
        <v>0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101"/>
    </row>
    <row r="117" spans="1:16" ht="12.75" x14ac:dyDescent="0.2">
      <c r="A117" s="141" t="s">
        <v>169</v>
      </c>
      <c r="B117" s="100">
        <v>5</v>
      </c>
      <c r="C117" s="180">
        <v>400</v>
      </c>
      <c r="D117" s="178">
        <f t="shared" si="14"/>
        <v>2000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101"/>
    </row>
    <row r="118" spans="1:16" ht="12.75" x14ac:dyDescent="0.2">
      <c r="A118" s="141" t="s">
        <v>170</v>
      </c>
      <c r="B118" s="100"/>
      <c r="C118" s="180"/>
      <c r="D118" s="178">
        <f t="shared" si="14"/>
        <v>0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101"/>
    </row>
    <row r="119" spans="1:16" ht="12.75" x14ac:dyDescent="0.2">
      <c r="A119" s="141" t="s">
        <v>171</v>
      </c>
      <c r="B119" s="100">
        <v>1</v>
      </c>
      <c r="C119" s="180">
        <v>400</v>
      </c>
      <c r="D119" s="178">
        <f t="shared" si="14"/>
        <v>400</v>
      </c>
      <c r="E119" s="6"/>
      <c r="F119" s="33"/>
      <c r="G119" s="6"/>
      <c r="H119" s="6"/>
      <c r="I119" s="6"/>
      <c r="J119" s="6"/>
      <c r="K119" s="6"/>
      <c r="L119" s="6"/>
      <c r="M119" s="6"/>
      <c r="N119" s="6"/>
      <c r="O119" s="6"/>
      <c r="P119" s="101"/>
    </row>
    <row r="120" spans="1:16" ht="12.75" x14ac:dyDescent="0.2">
      <c r="A120" s="141" t="s">
        <v>172</v>
      </c>
      <c r="B120" s="100">
        <v>4</v>
      </c>
      <c r="C120" s="180">
        <v>600</v>
      </c>
      <c r="D120" s="178">
        <f t="shared" si="14"/>
        <v>2400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101"/>
    </row>
    <row r="121" spans="1:16" ht="12.75" x14ac:dyDescent="0.2">
      <c r="A121" s="141" t="s">
        <v>173</v>
      </c>
      <c r="B121" s="100">
        <v>4</v>
      </c>
      <c r="C121" s="180">
        <v>1500</v>
      </c>
      <c r="D121" s="178">
        <f t="shared" si="14"/>
        <v>6000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101"/>
    </row>
    <row r="122" spans="1:16" ht="12.75" x14ac:dyDescent="0.2">
      <c r="A122" s="141"/>
      <c r="B122" s="100"/>
      <c r="C122" s="100"/>
      <c r="D122" s="178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101"/>
    </row>
    <row r="123" spans="1:16" ht="12.75" x14ac:dyDescent="0.2">
      <c r="A123" s="141" t="s">
        <v>174</v>
      </c>
      <c r="B123" s="100">
        <v>4</v>
      </c>
      <c r="C123" s="180">
        <v>7000</v>
      </c>
      <c r="D123" s="178">
        <f>B123*C123</f>
        <v>28000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101"/>
    </row>
    <row r="124" spans="1:16" x14ac:dyDescent="0.25">
      <c r="A124" s="142" t="s">
        <v>110</v>
      </c>
      <c r="B124" s="136"/>
      <c r="C124" s="136"/>
      <c r="D124" s="183">
        <f>SUM(D101:D123)</f>
        <v>157600</v>
      </c>
      <c r="E124" s="3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101"/>
    </row>
    <row r="125" spans="1:16" ht="12.75" x14ac:dyDescent="0.2">
      <c r="A125" s="134" t="str">
        <f>'[1]Y2 WORKPLAN'!B28</f>
        <v xml:space="preserve">5.3     Administration offices funished and equiped   </v>
      </c>
      <c r="B125" s="117"/>
      <c r="C125" s="117"/>
      <c r="D125" s="194"/>
      <c r="E125" s="158" t="s">
        <v>103</v>
      </c>
      <c r="F125" s="158" t="s">
        <v>103</v>
      </c>
      <c r="G125" s="158" t="s">
        <v>103</v>
      </c>
      <c r="H125" s="158" t="s">
        <v>103</v>
      </c>
      <c r="I125" s="158" t="s">
        <v>103</v>
      </c>
      <c r="J125" s="158" t="s">
        <v>103</v>
      </c>
      <c r="K125" s="158" t="s">
        <v>103</v>
      </c>
      <c r="L125" s="158" t="s">
        <v>103</v>
      </c>
      <c r="M125" s="158" t="s">
        <v>103</v>
      </c>
      <c r="N125" s="158" t="s">
        <v>103</v>
      </c>
      <c r="O125" s="158" t="s">
        <v>103</v>
      </c>
      <c r="P125" s="159" t="s">
        <v>103</v>
      </c>
    </row>
    <row r="126" spans="1:16" ht="12.75" x14ac:dyDescent="0.2">
      <c r="A126" s="160" t="s">
        <v>175</v>
      </c>
      <c r="B126" s="100">
        <v>1</v>
      </c>
      <c r="C126" s="180">
        <v>3000</v>
      </c>
      <c r="D126" s="178">
        <f>B126*C126</f>
        <v>3000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101"/>
    </row>
    <row r="127" spans="1:16" ht="12.75" x14ac:dyDescent="0.2">
      <c r="A127" s="160" t="s">
        <v>176</v>
      </c>
      <c r="B127" s="100">
        <v>12</v>
      </c>
      <c r="C127" s="180">
        <v>250</v>
      </c>
      <c r="D127" s="178">
        <f t="shared" ref="D127:D128" si="15">B127*C127</f>
        <v>3000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161"/>
    </row>
    <row r="128" spans="1:16" ht="12.75" x14ac:dyDescent="0.2">
      <c r="A128" s="162" t="s">
        <v>177</v>
      </c>
      <c r="B128" s="163">
        <v>12</v>
      </c>
      <c r="C128" s="180">
        <v>200</v>
      </c>
      <c r="D128" s="178">
        <f t="shared" si="15"/>
        <v>2400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161"/>
    </row>
    <row r="129" spans="1:16" ht="15.75" thickBot="1" x14ac:dyDescent="0.3">
      <c r="A129" s="164"/>
      <c r="B129" s="165"/>
      <c r="C129" s="165"/>
      <c r="D129" s="195">
        <f>SUM(D126:D128)</f>
        <v>8400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66"/>
    </row>
    <row r="130" spans="1:16" ht="15.75" thickBot="1" x14ac:dyDescent="0.3">
      <c r="A130" s="167" t="s">
        <v>178</v>
      </c>
      <c r="B130" s="168"/>
      <c r="C130" s="168"/>
      <c r="D130" s="196">
        <f>D129+D124+D99+D93+D87+D80+D79+D74+D70+D64+D57+D53+D48+D42+D32+D29+D14</f>
        <v>1776367</v>
      </c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9"/>
    </row>
    <row r="131" spans="1:16" x14ac:dyDescent="0.25">
      <c r="B131" s="119"/>
      <c r="C131" s="119"/>
      <c r="D131" s="197"/>
    </row>
    <row r="132" spans="1:16" x14ac:dyDescent="0.25">
      <c r="B132" s="119"/>
      <c r="C132" s="119"/>
      <c r="D132" s="197">
        <f>'[2]YEAR 4 WORKPLAN'!I28-'[2]YEAR 4 DETAILED PLAN'!D130</f>
        <v>0</v>
      </c>
    </row>
  </sheetData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31" workbookViewId="0">
      <selection activeCell="I54" sqref="I54"/>
    </sheetView>
  </sheetViews>
  <sheetFormatPr defaultRowHeight="12.75" x14ac:dyDescent="0.2"/>
  <cols>
    <col min="1" max="1" width="26.140625" style="174" customWidth="1"/>
    <col min="2" max="2" width="15" style="174" bestFit="1" customWidth="1"/>
    <col min="3" max="3" width="18.42578125" style="174" customWidth="1"/>
    <col min="4" max="5" width="17.28515625" style="200" bestFit="1" customWidth="1"/>
    <col min="6" max="6" width="1.140625" style="174" customWidth="1"/>
    <col min="7" max="7" width="12.85546875" style="174" bestFit="1" customWidth="1"/>
    <col min="8" max="8" width="12.85546875" style="200" bestFit="1" customWidth="1"/>
    <col min="9" max="9" width="12.85546875" style="174" bestFit="1" customWidth="1"/>
    <col min="10" max="257" width="6.85546875" style="174" customWidth="1"/>
    <col min="258" max="258" width="58.42578125" style="174" bestFit="1" customWidth="1"/>
    <col min="259" max="259" width="15" style="174" bestFit="1" customWidth="1"/>
    <col min="260" max="260" width="15.5703125" style="174" bestFit="1" customWidth="1"/>
    <col min="261" max="261" width="15" style="174" bestFit="1" customWidth="1"/>
    <col min="262" max="262" width="1.140625" style="174" customWidth="1"/>
    <col min="263" max="263" width="11.28515625" style="174" bestFit="1" customWidth="1"/>
    <col min="264" max="264" width="12" style="174" bestFit="1" customWidth="1"/>
    <col min="265" max="513" width="6.85546875" style="174" customWidth="1"/>
    <col min="514" max="514" width="58.42578125" style="174" bestFit="1" customWidth="1"/>
    <col min="515" max="515" width="15" style="174" bestFit="1" customWidth="1"/>
    <col min="516" max="516" width="15.5703125" style="174" bestFit="1" customWidth="1"/>
    <col min="517" max="517" width="15" style="174" bestFit="1" customWidth="1"/>
    <col min="518" max="518" width="1.140625" style="174" customWidth="1"/>
    <col min="519" max="519" width="11.28515625" style="174" bestFit="1" customWidth="1"/>
    <col min="520" max="520" width="12" style="174" bestFit="1" customWidth="1"/>
    <col min="521" max="769" width="6.85546875" style="174" customWidth="1"/>
    <col min="770" max="770" width="58.42578125" style="174" bestFit="1" customWidth="1"/>
    <col min="771" max="771" width="15" style="174" bestFit="1" customWidth="1"/>
    <col min="772" max="772" width="15.5703125" style="174" bestFit="1" customWidth="1"/>
    <col min="773" max="773" width="15" style="174" bestFit="1" customWidth="1"/>
    <col min="774" max="774" width="1.140625" style="174" customWidth="1"/>
    <col min="775" max="775" width="11.28515625" style="174" bestFit="1" customWidth="1"/>
    <col min="776" max="776" width="12" style="174" bestFit="1" customWidth="1"/>
    <col min="777" max="1025" width="6.85546875" style="174" customWidth="1"/>
    <col min="1026" max="1026" width="58.42578125" style="174" bestFit="1" customWidth="1"/>
    <col min="1027" max="1027" width="15" style="174" bestFit="1" customWidth="1"/>
    <col min="1028" max="1028" width="15.5703125" style="174" bestFit="1" customWidth="1"/>
    <col min="1029" max="1029" width="15" style="174" bestFit="1" customWidth="1"/>
    <col min="1030" max="1030" width="1.140625" style="174" customWidth="1"/>
    <col min="1031" max="1031" width="11.28515625" style="174" bestFit="1" customWidth="1"/>
    <col min="1032" max="1032" width="12" style="174" bestFit="1" customWidth="1"/>
    <col min="1033" max="1281" width="6.85546875" style="174" customWidth="1"/>
    <col min="1282" max="1282" width="58.42578125" style="174" bestFit="1" customWidth="1"/>
    <col min="1283" max="1283" width="15" style="174" bestFit="1" customWidth="1"/>
    <col min="1284" max="1284" width="15.5703125" style="174" bestFit="1" customWidth="1"/>
    <col min="1285" max="1285" width="15" style="174" bestFit="1" customWidth="1"/>
    <col min="1286" max="1286" width="1.140625" style="174" customWidth="1"/>
    <col min="1287" max="1287" width="11.28515625" style="174" bestFit="1" customWidth="1"/>
    <col min="1288" max="1288" width="12" style="174" bestFit="1" customWidth="1"/>
    <col min="1289" max="1537" width="6.85546875" style="174" customWidth="1"/>
    <col min="1538" max="1538" width="58.42578125" style="174" bestFit="1" customWidth="1"/>
    <col min="1539" max="1539" width="15" style="174" bestFit="1" customWidth="1"/>
    <col min="1540" max="1540" width="15.5703125" style="174" bestFit="1" customWidth="1"/>
    <col min="1541" max="1541" width="15" style="174" bestFit="1" customWidth="1"/>
    <col min="1542" max="1542" width="1.140625" style="174" customWidth="1"/>
    <col min="1543" max="1543" width="11.28515625" style="174" bestFit="1" customWidth="1"/>
    <col min="1544" max="1544" width="12" style="174" bestFit="1" customWidth="1"/>
    <col min="1545" max="1793" width="6.85546875" style="174" customWidth="1"/>
    <col min="1794" max="1794" width="58.42578125" style="174" bestFit="1" customWidth="1"/>
    <col min="1795" max="1795" width="15" style="174" bestFit="1" customWidth="1"/>
    <col min="1796" max="1796" width="15.5703125" style="174" bestFit="1" customWidth="1"/>
    <col min="1797" max="1797" width="15" style="174" bestFit="1" customWidth="1"/>
    <col min="1798" max="1798" width="1.140625" style="174" customWidth="1"/>
    <col min="1799" max="1799" width="11.28515625" style="174" bestFit="1" customWidth="1"/>
    <col min="1800" max="1800" width="12" style="174" bestFit="1" customWidth="1"/>
    <col min="1801" max="2049" width="6.85546875" style="174" customWidth="1"/>
    <col min="2050" max="2050" width="58.42578125" style="174" bestFit="1" customWidth="1"/>
    <col min="2051" max="2051" width="15" style="174" bestFit="1" customWidth="1"/>
    <col min="2052" max="2052" width="15.5703125" style="174" bestFit="1" customWidth="1"/>
    <col min="2053" max="2053" width="15" style="174" bestFit="1" customWidth="1"/>
    <col min="2054" max="2054" width="1.140625" style="174" customWidth="1"/>
    <col min="2055" max="2055" width="11.28515625" style="174" bestFit="1" customWidth="1"/>
    <col min="2056" max="2056" width="12" style="174" bestFit="1" customWidth="1"/>
    <col min="2057" max="2305" width="6.85546875" style="174" customWidth="1"/>
    <col min="2306" max="2306" width="58.42578125" style="174" bestFit="1" customWidth="1"/>
    <col min="2307" max="2307" width="15" style="174" bestFit="1" customWidth="1"/>
    <col min="2308" max="2308" width="15.5703125" style="174" bestFit="1" customWidth="1"/>
    <col min="2309" max="2309" width="15" style="174" bestFit="1" customWidth="1"/>
    <col min="2310" max="2310" width="1.140625" style="174" customWidth="1"/>
    <col min="2311" max="2311" width="11.28515625" style="174" bestFit="1" customWidth="1"/>
    <col min="2312" max="2312" width="12" style="174" bestFit="1" customWidth="1"/>
    <col min="2313" max="2561" width="6.85546875" style="174" customWidth="1"/>
    <col min="2562" max="2562" width="58.42578125" style="174" bestFit="1" customWidth="1"/>
    <col min="2563" max="2563" width="15" style="174" bestFit="1" customWidth="1"/>
    <col min="2564" max="2564" width="15.5703125" style="174" bestFit="1" customWidth="1"/>
    <col min="2565" max="2565" width="15" style="174" bestFit="1" customWidth="1"/>
    <col min="2566" max="2566" width="1.140625" style="174" customWidth="1"/>
    <col min="2567" max="2567" width="11.28515625" style="174" bestFit="1" customWidth="1"/>
    <col min="2568" max="2568" width="12" style="174" bestFit="1" customWidth="1"/>
    <col min="2569" max="2817" width="6.85546875" style="174" customWidth="1"/>
    <col min="2818" max="2818" width="58.42578125" style="174" bestFit="1" customWidth="1"/>
    <col min="2819" max="2819" width="15" style="174" bestFit="1" customWidth="1"/>
    <col min="2820" max="2820" width="15.5703125" style="174" bestFit="1" customWidth="1"/>
    <col min="2821" max="2821" width="15" style="174" bestFit="1" customWidth="1"/>
    <col min="2822" max="2822" width="1.140625" style="174" customWidth="1"/>
    <col min="2823" max="2823" width="11.28515625" style="174" bestFit="1" customWidth="1"/>
    <col min="2824" max="2824" width="12" style="174" bestFit="1" customWidth="1"/>
    <col min="2825" max="3073" width="6.85546875" style="174" customWidth="1"/>
    <col min="3074" max="3074" width="58.42578125" style="174" bestFit="1" customWidth="1"/>
    <col min="3075" max="3075" width="15" style="174" bestFit="1" customWidth="1"/>
    <col min="3076" max="3076" width="15.5703125" style="174" bestFit="1" customWidth="1"/>
    <col min="3077" max="3077" width="15" style="174" bestFit="1" customWidth="1"/>
    <col min="3078" max="3078" width="1.140625" style="174" customWidth="1"/>
    <col min="3079" max="3079" width="11.28515625" style="174" bestFit="1" customWidth="1"/>
    <col min="3080" max="3080" width="12" style="174" bestFit="1" customWidth="1"/>
    <col min="3081" max="3329" width="6.85546875" style="174" customWidth="1"/>
    <col min="3330" max="3330" width="58.42578125" style="174" bestFit="1" customWidth="1"/>
    <col min="3331" max="3331" width="15" style="174" bestFit="1" customWidth="1"/>
    <col min="3332" max="3332" width="15.5703125" style="174" bestFit="1" customWidth="1"/>
    <col min="3333" max="3333" width="15" style="174" bestFit="1" customWidth="1"/>
    <col min="3334" max="3334" width="1.140625" style="174" customWidth="1"/>
    <col min="3335" max="3335" width="11.28515625" style="174" bestFit="1" customWidth="1"/>
    <col min="3336" max="3336" width="12" style="174" bestFit="1" customWidth="1"/>
    <col min="3337" max="3585" width="6.85546875" style="174" customWidth="1"/>
    <col min="3586" max="3586" width="58.42578125" style="174" bestFit="1" customWidth="1"/>
    <col min="3587" max="3587" width="15" style="174" bestFit="1" customWidth="1"/>
    <col min="3588" max="3588" width="15.5703125" style="174" bestFit="1" customWidth="1"/>
    <col min="3589" max="3589" width="15" style="174" bestFit="1" customWidth="1"/>
    <col min="3590" max="3590" width="1.140625" style="174" customWidth="1"/>
    <col min="3591" max="3591" width="11.28515625" style="174" bestFit="1" customWidth="1"/>
    <col min="3592" max="3592" width="12" style="174" bestFit="1" customWidth="1"/>
    <col min="3593" max="3841" width="6.85546875" style="174" customWidth="1"/>
    <col min="3842" max="3842" width="58.42578125" style="174" bestFit="1" customWidth="1"/>
    <col min="3843" max="3843" width="15" style="174" bestFit="1" customWidth="1"/>
    <col min="3844" max="3844" width="15.5703125" style="174" bestFit="1" customWidth="1"/>
    <col min="3845" max="3845" width="15" style="174" bestFit="1" customWidth="1"/>
    <col min="3846" max="3846" width="1.140625" style="174" customWidth="1"/>
    <col min="3847" max="3847" width="11.28515625" style="174" bestFit="1" customWidth="1"/>
    <col min="3848" max="3848" width="12" style="174" bestFit="1" customWidth="1"/>
    <col min="3849" max="4097" width="6.85546875" style="174" customWidth="1"/>
    <col min="4098" max="4098" width="58.42578125" style="174" bestFit="1" customWidth="1"/>
    <col min="4099" max="4099" width="15" style="174" bestFit="1" customWidth="1"/>
    <col min="4100" max="4100" width="15.5703125" style="174" bestFit="1" customWidth="1"/>
    <col min="4101" max="4101" width="15" style="174" bestFit="1" customWidth="1"/>
    <col min="4102" max="4102" width="1.140625" style="174" customWidth="1"/>
    <col min="4103" max="4103" width="11.28515625" style="174" bestFit="1" customWidth="1"/>
    <col min="4104" max="4104" width="12" style="174" bestFit="1" customWidth="1"/>
    <col min="4105" max="4353" width="6.85546875" style="174" customWidth="1"/>
    <col min="4354" max="4354" width="58.42578125" style="174" bestFit="1" customWidth="1"/>
    <col min="4355" max="4355" width="15" style="174" bestFit="1" customWidth="1"/>
    <col min="4356" max="4356" width="15.5703125" style="174" bestFit="1" customWidth="1"/>
    <col min="4357" max="4357" width="15" style="174" bestFit="1" customWidth="1"/>
    <col min="4358" max="4358" width="1.140625" style="174" customWidth="1"/>
    <col min="4359" max="4359" width="11.28515625" style="174" bestFit="1" customWidth="1"/>
    <col min="4360" max="4360" width="12" style="174" bestFit="1" customWidth="1"/>
    <col min="4361" max="4609" width="6.85546875" style="174" customWidth="1"/>
    <col min="4610" max="4610" width="58.42578125" style="174" bestFit="1" customWidth="1"/>
    <col min="4611" max="4611" width="15" style="174" bestFit="1" customWidth="1"/>
    <col min="4612" max="4612" width="15.5703125" style="174" bestFit="1" customWidth="1"/>
    <col min="4613" max="4613" width="15" style="174" bestFit="1" customWidth="1"/>
    <col min="4614" max="4614" width="1.140625" style="174" customWidth="1"/>
    <col min="4615" max="4615" width="11.28515625" style="174" bestFit="1" customWidth="1"/>
    <col min="4616" max="4616" width="12" style="174" bestFit="1" customWidth="1"/>
    <col min="4617" max="4865" width="6.85546875" style="174" customWidth="1"/>
    <col min="4866" max="4866" width="58.42578125" style="174" bestFit="1" customWidth="1"/>
    <col min="4867" max="4867" width="15" style="174" bestFit="1" customWidth="1"/>
    <col min="4868" max="4868" width="15.5703125" style="174" bestFit="1" customWidth="1"/>
    <col min="4869" max="4869" width="15" style="174" bestFit="1" customWidth="1"/>
    <col min="4870" max="4870" width="1.140625" style="174" customWidth="1"/>
    <col min="4871" max="4871" width="11.28515625" style="174" bestFit="1" customWidth="1"/>
    <col min="4872" max="4872" width="12" style="174" bestFit="1" customWidth="1"/>
    <col min="4873" max="5121" width="6.85546875" style="174" customWidth="1"/>
    <col min="5122" max="5122" width="58.42578125" style="174" bestFit="1" customWidth="1"/>
    <col min="5123" max="5123" width="15" style="174" bestFit="1" customWidth="1"/>
    <col min="5124" max="5124" width="15.5703125" style="174" bestFit="1" customWidth="1"/>
    <col min="5125" max="5125" width="15" style="174" bestFit="1" customWidth="1"/>
    <col min="5126" max="5126" width="1.140625" style="174" customWidth="1"/>
    <col min="5127" max="5127" width="11.28515625" style="174" bestFit="1" customWidth="1"/>
    <col min="5128" max="5128" width="12" style="174" bestFit="1" customWidth="1"/>
    <col min="5129" max="5377" width="6.85546875" style="174" customWidth="1"/>
    <col min="5378" max="5378" width="58.42578125" style="174" bestFit="1" customWidth="1"/>
    <col min="5379" max="5379" width="15" style="174" bestFit="1" customWidth="1"/>
    <col min="5380" max="5380" width="15.5703125" style="174" bestFit="1" customWidth="1"/>
    <col min="5381" max="5381" width="15" style="174" bestFit="1" customWidth="1"/>
    <col min="5382" max="5382" width="1.140625" style="174" customWidth="1"/>
    <col min="5383" max="5383" width="11.28515625" style="174" bestFit="1" customWidth="1"/>
    <col min="5384" max="5384" width="12" style="174" bestFit="1" customWidth="1"/>
    <col min="5385" max="5633" width="6.85546875" style="174" customWidth="1"/>
    <col min="5634" max="5634" width="58.42578125" style="174" bestFit="1" customWidth="1"/>
    <col min="5635" max="5635" width="15" style="174" bestFit="1" customWidth="1"/>
    <col min="5636" max="5636" width="15.5703125" style="174" bestFit="1" customWidth="1"/>
    <col min="5637" max="5637" width="15" style="174" bestFit="1" customWidth="1"/>
    <col min="5638" max="5638" width="1.140625" style="174" customWidth="1"/>
    <col min="5639" max="5639" width="11.28515625" style="174" bestFit="1" customWidth="1"/>
    <col min="5640" max="5640" width="12" style="174" bestFit="1" customWidth="1"/>
    <col min="5641" max="5889" width="6.85546875" style="174" customWidth="1"/>
    <col min="5890" max="5890" width="58.42578125" style="174" bestFit="1" customWidth="1"/>
    <col min="5891" max="5891" width="15" style="174" bestFit="1" customWidth="1"/>
    <col min="5892" max="5892" width="15.5703125" style="174" bestFit="1" customWidth="1"/>
    <col min="5893" max="5893" width="15" style="174" bestFit="1" customWidth="1"/>
    <col min="5894" max="5894" width="1.140625" style="174" customWidth="1"/>
    <col min="5895" max="5895" width="11.28515625" style="174" bestFit="1" customWidth="1"/>
    <col min="5896" max="5896" width="12" style="174" bestFit="1" customWidth="1"/>
    <col min="5897" max="6145" width="6.85546875" style="174" customWidth="1"/>
    <col min="6146" max="6146" width="58.42578125" style="174" bestFit="1" customWidth="1"/>
    <col min="6147" max="6147" width="15" style="174" bestFit="1" customWidth="1"/>
    <col min="6148" max="6148" width="15.5703125" style="174" bestFit="1" customWidth="1"/>
    <col min="6149" max="6149" width="15" style="174" bestFit="1" customWidth="1"/>
    <col min="6150" max="6150" width="1.140625" style="174" customWidth="1"/>
    <col min="6151" max="6151" width="11.28515625" style="174" bestFit="1" customWidth="1"/>
    <col min="6152" max="6152" width="12" style="174" bestFit="1" customWidth="1"/>
    <col min="6153" max="6401" width="6.85546875" style="174" customWidth="1"/>
    <col min="6402" max="6402" width="58.42578125" style="174" bestFit="1" customWidth="1"/>
    <col min="6403" max="6403" width="15" style="174" bestFit="1" customWidth="1"/>
    <col min="6404" max="6404" width="15.5703125" style="174" bestFit="1" customWidth="1"/>
    <col min="6405" max="6405" width="15" style="174" bestFit="1" customWidth="1"/>
    <col min="6406" max="6406" width="1.140625" style="174" customWidth="1"/>
    <col min="6407" max="6407" width="11.28515625" style="174" bestFit="1" customWidth="1"/>
    <col min="6408" max="6408" width="12" style="174" bestFit="1" customWidth="1"/>
    <col min="6409" max="6657" width="6.85546875" style="174" customWidth="1"/>
    <col min="6658" max="6658" width="58.42578125" style="174" bestFit="1" customWidth="1"/>
    <col min="6659" max="6659" width="15" style="174" bestFit="1" customWidth="1"/>
    <col min="6660" max="6660" width="15.5703125" style="174" bestFit="1" customWidth="1"/>
    <col min="6661" max="6661" width="15" style="174" bestFit="1" customWidth="1"/>
    <col min="6662" max="6662" width="1.140625" style="174" customWidth="1"/>
    <col min="6663" max="6663" width="11.28515625" style="174" bestFit="1" customWidth="1"/>
    <col min="6664" max="6664" width="12" style="174" bestFit="1" customWidth="1"/>
    <col min="6665" max="6913" width="6.85546875" style="174" customWidth="1"/>
    <col min="6914" max="6914" width="58.42578125" style="174" bestFit="1" customWidth="1"/>
    <col min="6915" max="6915" width="15" style="174" bestFit="1" customWidth="1"/>
    <col min="6916" max="6916" width="15.5703125" style="174" bestFit="1" customWidth="1"/>
    <col min="6917" max="6917" width="15" style="174" bestFit="1" customWidth="1"/>
    <col min="6918" max="6918" width="1.140625" style="174" customWidth="1"/>
    <col min="6919" max="6919" width="11.28515625" style="174" bestFit="1" customWidth="1"/>
    <col min="6920" max="6920" width="12" style="174" bestFit="1" customWidth="1"/>
    <col min="6921" max="7169" width="6.85546875" style="174" customWidth="1"/>
    <col min="7170" max="7170" width="58.42578125" style="174" bestFit="1" customWidth="1"/>
    <col min="7171" max="7171" width="15" style="174" bestFit="1" customWidth="1"/>
    <col min="7172" max="7172" width="15.5703125" style="174" bestFit="1" customWidth="1"/>
    <col min="7173" max="7173" width="15" style="174" bestFit="1" customWidth="1"/>
    <col min="7174" max="7174" width="1.140625" style="174" customWidth="1"/>
    <col min="7175" max="7175" width="11.28515625" style="174" bestFit="1" customWidth="1"/>
    <col min="7176" max="7176" width="12" style="174" bestFit="1" customWidth="1"/>
    <col min="7177" max="7425" width="6.85546875" style="174" customWidth="1"/>
    <col min="7426" max="7426" width="58.42578125" style="174" bestFit="1" customWidth="1"/>
    <col min="7427" max="7427" width="15" style="174" bestFit="1" customWidth="1"/>
    <col min="7428" max="7428" width="15.5703125" style="174" bestFit="1" customWidth="1"/>
    <col min="7429" max="7429" width="15" style="174" bestFit="1" customWidth="1"/>
    <col min="7430" max="7430" width="1.140625" style="174" customWidth="1"/>
    <col min="7431" max="7431" width="11.28515625" style="174" bestFit="1" customWidth="1"/>
    <col min="7432" max="7432" width="12" style="174" bestFit="1" customWidth="1"/>
    <col min="7433" max="7681" width="6.85546875" style="174" customWidth="1"/>
    <col min="7682" max="7682" width="58.42578125" style="174" bestFit="1" customWidth="1"/>
    <col min="7683" max="7683" width="15" style="174" bestFit="1" customWidth="1"/>
    <col min="7684" max="7684" width="15.5703125" style="174" bestFit="1" customWidth="1"/>
    <col min="7685" max="7685" width="15" style="174" bestFit="1" customWidth="1"/>
    <col min="7686" max="7686" width="1.140625" style="174" customWidth="1"/>
    <col min="7687" max="7687" width="11.28515625" style="174" bestFit="1" customWidth="1"/>
    <col min="7688" max="7688" width="12" style="174" bestFit="1" customWidth="1"/>
    <col min="7689" max="7937" width="6.85546875" style="174" customWidth="1"/>
    <col min="7938" max="7938" width="58.42578125" style="174" bestFit="1" customWidth="1"/>
    <col min="7939" max="7939" width="15" style="174" bestFit="1" customWidth="1"/>
    <col min="7940" max="7940" width="15.5703125" style="174" bestFit="1" customWidth="1"/>
    <col min="7941" max="7941" width="15" style="174" bestFit="1" customWidth="1"/>
    <col min="7942" max="7942" width="1.140625" style="174" customWidth="1"/>
    <col min="7943" max="7943" width="11.28515625" style="174" bestFit="1" customWidth="1"/>
    <col min="7944" max="7944" width="12" style="174" bestFit="1" customWidth="1"/>
    <col min="7945" max="8193" width="6.85546875" style="174" customWidth="1"/>
    <col min="8194" max="8194" width="58.42578125" style="174" bestFit="1" customWidth="1"/>
    <col min="8195" max="8195" width="15" style="174" bestFit="1" customWidth="1"/>
    <col min="8196" max="8196" width="15.5703125" style="174" bestFit="1" customWidth="1"/>
    <col min="8197" max="8197" width="15" style="174" bestFit="1" customWidth="1"/>
    <col min="8198" max="8198" width="1.140625" style="174" customWidth="1"/>
    <col min="8199" max="8199" width="11.28515625" style="174" bestFit="1" customWidth="1"/>
    <col min="8200" max="8200" width="12" style="174" bestFit="1" customWidth="1"/>
    <col min="8201" max="8449" width="6.85546875" style="174" customWidth="1"/>
    <col min="8450" max="8450" width="58.42578125" style="174" bestFit="1" customWidth="1"/>
    <col min="8451" max="8451" width="15" style="174" bestFit="1" customWidth="1"/>
    <col min="8452" max="8452" width="15.5703125" style="174" bestFit="1" customWidth="1"/>
    <col min="8453" max="8453" width="15" style="174" bestFit="1" customWidth="1"/>
    <col min="8454" max="8454" width="1.140625" style="174" customWidth="1"/>
    <col min="8455" max="8455" width="11.28515625" style="174" bestFit="1" customWidth="1"/>
    <col min="8456" max="8456" width="12" style="174" bestFit="1" customWidth="1"/>
    <col min="8457" max="8705" width="6.85546875" style="174" customWidth="1"/>
    <col min="8706" max="8706" width="58.42578125" style="174" bestFit="1" customWidth="1"/>
    <col min="8707" max="8707" width="15" style="174" bestFit="1" customWidth="1"/>
    <col min="8708" max="8708" width="15.5703125" style="174" bestFit="1" customWidth="1"/>
    <col min="8709" max="8709" width="15" style="174" bestFit="1" customWidth="1"/>
    <col min="8710" max="8710" width="1.140625" style="174" customWidth="1"/>
    <col min="8711" max="8711" width="11.28515625" style="174" bestFit="1" customWidth="1"/>
    <col min="8712" max="8712" width="12" style="174" bestFit="1" customWidth="1"/>
    <col min="8713" max="8961" width="6.85546875" style="174" customWidth="1"/>
    <col min="8962" max="8962" width="58.42578125" style="174" bestFit="1" customWidth="1"/>
    <col min="8963" max="8963" width="15" style="174" bestFit="1" customWidth="1"/>
    <col min="8964" max="8964" width="15.5703125" style="174" bestFit="1" customWidth="1"/>
    <col min="8965" max="8965" width="15" style="174" bestFit="1" customWidth="1"/>
    <col min="8966" max="8966" width="1.140625" style="174" customWidth="1"/>
    <col min="8967" max="8967" width="11.28515625" style="174" bestFit="1" customWidth="1"/>
    <col min="8968" max="8968" width="12" style="174" bestFit="1" customWidth="1"/>
    <col min="8969" max="9217" width="6.85546875" style="174" customWidth="1"/>
    <col min="9218" max="9218" width="58.42578125" style="174" bestFit="1" customWidth="1"/>
    <col min="9219" max="9219" width="15" style="174" bestFit="1" customWidth="1"/>
    <col min="9220" max="9220" width="15.5703125" style="174" bestFit="1" customWidth="1"/>
    <col min="9221" max="9221" width="15" style="174" bestFit="1" customWidth="1"/>
    <col min="9222" max="9222" width="1.140625" style="174" customWidth="1"/>
    <col min="9223" max="9223" width="11.28515625" style="174" bestFit="1" customWidth="1"/>
    <col min="9224" max="9224" width="12" style="174" bestFit="1" customWidth="1"/>
    <col min="9225" max="9473" width="6.85546875" style="174" customWidth="1"/>
    <col min="9474" max="9474" width="58.42578125" style="174" bestFit="1" customWidth="1"/>
    <col min="9475" max="9475" width="15" style="174" bestFit="1" customWidth="1"/>
    <col min="9476" max="9476" width="15.5703125" style="174" bestFit="1" customWidth="1"/>
    <col min="9477" max="9477" width="15" style="174" bestFit="1" customWidth="1"/>
    <col min="9478" max="9478" width="1.140625" style="174" customWidth="1"/>
    <col min="9479" max="9479" width="11.28515625" style="174" bestFit="1" customWidth="1"/>
    <col min="9480" max="9480" width="12" style="174" bestFit="1" customWidth="1"/>
    <col min="9481" max="9729" width="6.85546875" style="174" customWidth="1"/>
    <col min="9730" max="9730" width="58.42578125" style="174" bestFit="1" customWidth="1"/>
    <col min="9731" max="9731" width="15" style="174" bestFit="1" customWidth="1"/>
    <col min="9732" max="9732" width="15.5703125" style="174" bestFit="1" customWidth="1"/>
    <col min="9733" max="9733" width="15" style="174" bestFit="1" customWidth="1"/>
    <col min="9734" max="9734" width="1.140625" style="174" customWidth="1"/>
    <col min="9735" max="9735" width="11.28515625" style="174" bestFit="1" customWidth="1"/>
    <col min="9736" max="9736" width="12" style="174" bestFit="1" customWidth="1"/>
    <col min="9737" max="9985" width="6.85546875" style="174" customWidth="1"/>
    <col min="9986" max="9986" width="58.42578125" style="174" bestFit="1" customWidth="1"/>
    <col min="9987" max="9987" width="15" style="174" bestFit="1" customWidth="1"/>
    <col min="9988" max="9988" width="15.5703125" style="174" bestFit="1" customWidth="1"/>
    <col min="9989" max="9989" width="15" style="174" bestFit="1" customWidth="1"/>
    <col min="9990" max="9990" width="1.140625" style="174" customWidth="1"/>
    <col min="9991" max="9991" width="11.28515625" style="174" bestFit="1" customWidth="1"/>
    <col min="9992" max="9992" width="12" style="174" bestFit="1" customWidth="1"/>
    <col min="9993" max="10241" width="6.85546875" style="174" customWidth="1"/>
    <col min="10242" max="10242" width="58.42578125" style="174" bestFit="1" customWidth="1"/>
    <col min="10243" max="10243" width="15" style="174" bestFit="1" customWidth="1"/>
    <col min="10244" max="10244" width="15.5703125" style="174" bestFit="1" customWidth="1"/>
    <col min="10245" max="10245" width="15" style="174" bestFit="1" customWidth="1"/>
    <col min="10246" max="10246" width="1.140625" style="174" customWidth="1"/>
    <col min="10247" max="10247" width="11.28515625" style="174" bestFit="1" customWidth="1"/>
    <col min="10248" max="10248" width="12" style="174" bestFit="1" customWidth="1"/>
    <col min="10249" max="10497" width="6.85546875" style="174" customWidth="1"/>
    <col min="10498" max="10498" width="58.42578125" style="174" bestFit="1" customWidth="1"/>
    <col min="10499" max="10499" width="15" style="174" bestFit="1" customWidth="1"/>
    <col min="10500" max="10500" width="15.5703125" style="174" bestFit="1" customWidth="1"/>
    <col min="10501" max="10501" width="15" style="174" bestFit="1" customWidth="1"/>
    <col min="10502" max="10502" width="1.140625" style="174" customWidth="1"/>
    <col min="10503" max="10503" width="11.28515625" style="174" bestFit="1" customWidth="1"/>
    <col min="10504" max="10504" width="12" style="174" bestFit="1" customWidth="1"/>
    <col min="10505" max="10753" width="6.85546875" style="174" customWidth="1"/>
    <col min="10754" max="10754" width="58.42578125" style="174" bestFit="1" customWidth="1"/>
    <col min="10755" max="10755" width="15" style="174" bestFit="1" customWidth="1"/>
    <col min="10756" max="10756" width="15.5703125" style="174" bestFit="1" customWidth="1"/>
    <col min="10757" max="10757" width="15" style="174" bestFit="1" customWidth="1"/>
    <col min="10758" max="10758" width="1.140625" style="174" customWidth="1"/>
    <col min="10759" max="10759" width="11.28515625" style="174" bestFit="1" customWidth="1"/>
    <col min="10760" max="10760" width="12" style="174" bestFit="1" customWidth="1"/>
    <col min="10761" max="11009" width="6.85546875" style="174" customWidth="1"/>
    <col min="11010" max="11010" width="58.42578125" style="174" bestFit="1" customWidth="1"/>
    <col min="11011" max="11011" width="15" style="174" bestFit="1" customWidth="1"/>
    <col min="11012" max="11012" width="15.5703125" style="174" bestFit="1" customWidth="1"/>
    <col min="11013" max="11013" width="15" style="174" bestFit="1" customWidth="1"/>
    <col min="11014" max="11014" width="1.140625" style="174" customWidth="1"/>
    <col min="11015" max="11015" width="11.28515625" style="174" bestFit="1" customWidth="1"/>
    <col min="11016" max="11016" width="12" style="174" bestFit="1" customWidth="1"/>
    <col min="11017" max="11265" width="6.85546875" style="174" customWidth="1"/>
    <col min="11266" max="11266" width="58.42578125" style="174" bestFit="1" customWidth="1"/>
    <col min="11267" max="11267" width="15" style="174" bestFit="1" customWidth="1"/>
    <col min="11268" max="11268" width="15.5703125" style="174" bestFit="1" customWidth="1"/>
    <col min="11269" max="11269" width="15" style="174" bestFit="1" customWidth="1"/>
    <col min="11270" max="11270" width="1.140625" style="174" customWidth="1"/>
    <col min="11271" max="11271" width="11.28515625" style="174" bestFit="1" customWidth="1"/>
    <col min="11272" max="11272" width="12" style="174" bestFit="1" customWidth="1"/>
    <col min="11273" max="11521" width="6.85546875" style="174" customWidth="1"/>
    <col min="11522" max="11522" width="58.42578125" style="174" bestFit="1" customWidth="1"/>
    <col min="11523" max="11523" width="15" style="174" bestFit="1" customWidth="1"/>
    <col min="11524" max="11524" width="15.5703125" style="174" bestFit="1" customWidth="1"/>
    <col min="11525" max="11525" width="15" style="174" bestFit="1" customWidth="1"/>
    <col min="11526" max="11526" width="1.140625" style="174" customWidth="1"/>
    <col min="11527" max="11527" width="11.28515625" style="174" bestFit="1" customWidth="1"/>
    <col min="11528" max="11528" width="12" style="174" bestFit="1" customWidth="1"/>
    <col min="11529" max="11777" width="6.85546875" style="174" customWidth="1"/>
    <col min="11778" max="11778" width="58.42578125" style="174" bestFit="1" customWidth="1"/>
    <col min="11779" max="11779" width="15" style="174" bestFit="1" customWidth="1"/>
    <col min="11780" max="11780" width="15.5703125" style="174" bestFit="1" customWidth="1"/>
    <col min="11781" max="11781" width="15" style="174" bestFit="1" customWidth="1"/>
    <col min="11782" max="11782" width="1.140625" style="174" customWidth="1"/>
    <col min="11783" max="11783" width="11.28515625" style="174" bestFit="1" customWidth="1"/>
    <col min="11784" max="11784" width="12" style="174" bestFit="1" customWidth="1"/>
    <col min="11785" max="12033" width="6.85546875" style="174" customWidth="1"/>
    <col min="12034" max="12034" width="58.42578125" style="174" bestFit="1" customWidth="1"/>
    <col min="12035" max="12035" width="15" style="174" bestFit="1" customWidth="1"/>
    <col min="12036" max="12036" width="15.5703125" style="174" bestFit="1" customWidth="1"/>
    <col min="12037" max="12037" width="15" style="174" bestFit="1" customWidth="1"/>
    <col min="12038" max="12038" width="1.140625" style="174" customWidth="1"/>
    <col min="12039" max="12039" width="11.28515625" style="174" bestFit="1" customWidth="1"/>
    <col min="12040" max="12040" width="12" style="174" bestFit="1" customWidth="1"/>
    <col min="12041" max="12289" width="6.85546875" style="174" customWidth="1"/>
    <col min="12290" max="12290" width="58.42578125" style="174" bestFit="1" customWidth="1"/>
    <col min="12291" max="12291" width="15" style="174" bestFit="1" customWidth="1"/>
    <col min="12292" max="12292" width="15.5703125" style="174" bestFit="1" customWidth="1"/>
    <col min="12293" max="12293" width="15" style="174" bestFit="1" customWidth="1"/>
    <col min="12294" max="12294" width="1.140625" style="174" customWidth="1"/>
    <col min="12295" max="12295" width="11.28515625" style="174" bestFit="1" customWidth="1"/>
    <col min="12296" max="12296" width="12" style="174" bestFit="1" customWidth="1"/>
    <col min="12297" max="12545" width="6.85546875" style="174" customWidth="1"/>
    <col min="12546" max="12546" width="58.42578125" style="174" bestFit="1" customWidth="1"/>
    <col min="12547" max="12547" width="15" style="174" bestFit="1" customWidth="1"/>
    <col min="12548" max="12548" width="15.5703125" style="174" bestFit="1" customWidth="1"/>
    <col min="12549" max="12549" width="15" style="174" bestFit="1" customWidth="1"/>
    <col min="12550" max="12550" width="1.140625" style="174" customWidth="1"/>
    <col min="12551" max="12551" width="11.28515625" style="174" bestFit="1" customWidth="1"/>
    <col min="12552" max="12552" width="12" style="174" bestFit="1" customWidth="1"/>
    <col min="12553" max="12801" width="6.85546875" style="174" customWidth="1"/>
    <col min="12802" max="12802" width="58.42578125" style="174" bestFit="1" customWidth="1"/>
    <col min="12803" max="12803" width="15" style="174" bestFit="1" customWidth="1"/>
    <col min="12804" max="12804" width="15.5703125" style="174" bestFit="1" customWidth="1"/>
    <col min="12805" max="12805" width="15" style="174" bestFit="1" customWidth="1"/>
    <col min="12806" max="12806" width="1.140625" style="174" customWidth="1"/>
    <col min="12807" max="12807" width="11.28515625" style="174" bestFit="1" customWidth="1"/>
    <col min="12808" max="12808" width="12" style="174" bestFit="1" customWidth="1"/>
    <col min="12809" max="13057" width="6.85546875" style="174" customWidth="1"/>
    <col min="13058" max="13058" width="58.42578125" style="174" bestFit="1" customWidth="1"/>
    <col min="13059" max="13059" width="15" style="174" bestFit="1" customWidth="1"/>
    <col min="13060" max="13060" width="15.5703125" style="174" bestFit="1" customWidth="1"/>
    <col min="13061" max="13061" width="15" style="174" bestFit="1" customWidth="1"/>
    <col min="13062" max="13062" width="1.140625" style="174" customWidth="1"/>
    <col min="13063" max="13063" width="11.28515625" style="174" bestFit="1" customWidth="1"/>
    <col min="13064" max="13064" width="12" style="174" bestFit="1" customWidth="1"/>
    <col min="13065" max="13313" width="6.85546875" style="174" customWidth="1"/>
    <col min="13314" max="13314" width="58.42578125" style="174" bestFit="1" customWidth="1"/>
    <col min="13315" max="13315" width="15" style="174" bestFit="1" customWidth="1"/>
    <col min="13316" max="13316" width="15.5703125" style="174" bestFit="1" customWidth="1"/>
    <col min="13317" max="13317" width="15" style="174" bestFit="1" customWidth="1"/>
    <col min="13318" max="13318" width="1.140625" style="174" customWidth="1"/>
    <col min="13319" max="13319" width="11.28515625" style="174" bestFit="1" customWidth="1"/>
    <col min="13320" max="13320" width="12" style="174" bestFit="1" customWidth="1"/>
    <col min="13321" max="13569" width="6.85546875" style="174" customWidth="1"/>
    <col min="13570" max="13570" width="58.42578125" style="174" bestFit="1" customWidth="1"/>
    <col min="13571" max="13571" width="15" style="174" bestFit="1" customWidth="1"/>
    <col min="13572" max="13572" width="15.5703125" style="174" bestFit="1" customWidth="1"/>
    <col min="13573" max="13573" width="15" style="174" bestFit="1" customWidth="1"/>
    <col min="13574" max="13574" width="1.140625" style="174" customWidth="1"/>
    <col min="13575" max="13575" width="11.28515625" style="174" bestFit="1" customWidth="1"/>
    <col min="13576" max="13576" width="12" style="174" bestFit="1" customWidth="1"/>
    <col min="13577" max="13825" width="6.85546875" style="174" customWidth="1"/>
    <col min="13826" max="13826" width="58.42578125" style="174" bestFit="1" customWidth="1"/>
    <col min="13827" max="13827" width="15" style="174" bestFit="1" customWidth="1"/>
    <col min="13828" max="13828" width="15.5703125" style="174" bestFit="1" customWidth="1"/>
    <col min="13829" max="13829" width="15" style="174" bestFit="1" customWidth="1"/>
    <col min="13830" max="13830" width="1.140625" style="174" customWidth="1"/>
    <col min="13831" max="13831" width="11.28515625" style="174" bestFit="1" customWidth="1"/>
    <col min="13832" max="13832" width="12" style="174" bestFit="1" customWidth="1"/>
    <col min="13833" max="14081" width="6.85546875" style="174" customWidth="1"/>
    <col min="14082" max="14082" width="58.42578125" style="174" bestFit="1" customWidth="1"/>
    <col min="14083" max="14083" width="15" style="174" bestFit="1" customWidth="1"/>
    <col min="14084" max="14084" width="15.5703125" style="174" bestFit="1" customWidth="1"/>
    <col min="14085" max="14085" width="15" style="174" bestFit="1" customWidth="1"/>
    <col min="14086" max="14086" width="1.140625" style="174" customWidth="1"/>
    <col min="14087" max="14087" width="11.28515625" style="174" bestFit="1" customWidth="1"/>
    <col min="14088" max="14088" width="12" style="174" bestFit="1" customWidth="1"/>
    <col min="14089" max="14337" width="6.85546875" style="174" customWidth="1"/>
    <col min="14338" max="14338" width="58.42578125" style="174" bestFit="1" customWidth="1"/>
    <col min="14339" max="14339" width="15" style="174" bestFit="1" customWidth="1"/>
    <col min="14340" max="14340" width="15.5703125" style="174" bestFit="1" customWidth="1"/>
    <col min="14341" max="14341" width="15" style="174" bestFit="1" customWidth="1"/>
    <col min="14342" max="14342" width="1.140625" style="174" customWidth="1"/>
    <col min="14343" max="14343" width="11.28515625" style="174" bestFit="1" customWidth="1"/>
    <col min="14344" max="14344" width="12" style="174" bestFit="1" customWidth="1"/>
    <col min="14345" max="14593" width="6.85546875" style="174" customWidth="1"/>
    <col min="14594" max="14594" width="58.42578125" style="174" bestFit="1" customWidth="1"/>
    <col min="14595" max="14595" width="15" style="174" bestFit="1" customWidth="1"/>
    <col min="14596" max="14596" width="15.5703125" style="174" bestFit="1" customWidth="1"/>
    <col min="14597" max="14597" width="15" style="174" bestFit="1" customWidth="1"/>
    <col min="14598" max="14598" width="1.140625" style="174" customWidth="1"/>
    <col min="14599" max="14599" width="11.28515625" style="174" bestFit="1" customWidth="1"/>
    <col min="14600" max="14600" width="12" style="174" bestFit="1" customWidth="1"/>
    <col min="14601" max="14849" width="6.85546875" style="174" customWidth="1"/>
    <col min="14850" max="14850" width="58.42578125" style="174" bestFit="1" customWidth="1"/>
    <col min="14851" max="14851" width="15" style="174" bestFit="1" customWidth="1"/>
    <col min="14852" max="14852" width="15.5703125" style="174" bestFit="1" customWidth="1"/>
    <col min="14853" max="14853" width="15" style="174" bestFit="1" customWidth="1"/>
    <col min="14854" max="14854" width="1.140625" style="174" customWidth="1"/>
    <col min="14855" max="14855" width="11.28515625" style="174" bestFit="1" customWidth="1"/>
    <col min="14856" max="14856" width="12" style="174" bestFit="1" customWidth="1"/>
    <col min="14857" max="15105" width="6.85546875" style="174" customWidth="1"/>
    <col min="15106" max="15106" width="58.42578125" style="174" bestFit="1" customWidth="1"/>
    <col min="15107" max="15107" width="15" style="174" bestFit="1" customWidth="1"/>
    <col min="15108" max="15108" width="15.5703125" style="174" bestFit="1" customWidth="1"/>
    <col min="15109" max="15109" width="15" style="174" bestFit="1" customWidth="1"/>
    <col min="15110" max="15110" width="1.140625" style="174" customWidth="1"/>
    <col min="15111" max="15111" width="11.28515625" style="174" bestFit="1" customWidth="1"/>
    <col min="15112" max="15112" width="12" style="174" bestFit="1" customWidth="1"/>
    <col min="15113" max="15361" width="6.85546875" style="174" customWidth="1"/>
    <col min="15362" max="15362" width="58.42578125" style="174" bestFit="1" customWidth="1"/>
    <col min="15363" max="15363" width="15" style="174" bestFit="1" customWidth="1"/>
    <col min="15364" max="15364" width="15.5703125" style="174" bestFit="1" customWidth="1"/>
    <col min="15365" max="15365" width="15" style="174" bestFit="1" customWidth="1"/>
    <col min="15366" max="15366" width="1.140625" style="174" customWidth="1"/>
    <col min="15367" max="15367" width="11.28515625" style="174" bestFit="1" customWidth="1"/>
    <col min="15368" max="15368" width="12" style="174" bestFit="1" customWidth="1"/>
    <col min="15369" max="15617" width="6.85546875" style="174" customWidth="1"/>
    <col min="15618" max="15618" width="58.42578125" style="174" bestFit="1" customWidth="1"/>
    <col min="15619" max="15619" width="15" style="174" bestFit="1" customWidth="1"/>
    <col min="15620" max="15620" width="15.5703125" style="174" bestFit="1" customWidth="1"/>
    <col min="15621" max="15621" width="15" style="174" bestFit="1" customWidth="1"/>
    <col min="15622" max="15622" width="1.140625" style="174" customWidth="1"/>
    <col min="15623" max="15623" width="11.28515625" style="174" bestFit="1" customWidth="1"/>
    <col min="15624" max="15624" width="12" style="174" bestFit="1" customWidth="1"/>
    <col min="15625" max="15873" width="6.85546875" style="174" customWidth="1"/>
    <col min="15874" max="15874" width="58.42578125" style="174" bestFit="1" customWidth="1"/>
    <col min="15875" max="15875" width="15" style="174" bestFit="1" customWidth="1"/>
    <col min="15876" max="15876" width="15.5703125" style="174" bestFit="1" customWidth="1"/>
    <col min="15877" max="15877" width="15" style="174" bestFit="1" customWidth="1"/>
    <col min="15878" max="15878" width="1.140625" style="174" customWidth="1"/>
    <col min="15879" max="15879" width="11.28515625" style="174" bestFit="1" customWidth="1"/>
    <col min="15880" max="15880" width="12" style="174" bestFit="1" customWidth="1"/>
    <col min="15881" max="16129" width="6.85546875" style="174" customWidth="1"/>
    <col min="16130" max="16130" width="58.42578125" style="174" bestFit="1" customWidth="1"/>
    <col min="16131" max="16131" width="15" style="174" bestFit="1" customWidth="1"/>
    <col min="16132" max="16132" width="15.5703125" style="174" bestFit="1" customWidth="1"/>
    <col min="16133" max="16133" width="15" style="174" bestFit="1" customWidth="1"/>
    <col min="16134" max="16134" width="1.140625" style="174" customWidth="1"/>
    <col min="16135" max="16135" width="11.28515625" style="174" bestFit="1" customWidth="1"/>
    <col min="16136" max="16136" width="12" style="174" bestFit="1" customWidth="1"/>
    <col min="16137" max="16384" width="6.85546875" style="174" customWidth="1"/>
  </cols>
  <sheetData>
    <row r="1" spans="1:9" x14ac:dyDescent="0.2">
      <c r="A1" s="174" t="s">
        <v>227</v>
      </c>
    </row>
    <row r="2" spans="1:9" ht="12.75" customHeight="1" x14ac:dyDescent="0.2">
      <c r="A2" s="216" t="s">
        <v>304</v>
      </c>
      <c r="G2" s="200">
        <v>1733.8333</v>
      </c>
    </row>
    <row r="3" spans="1:9" x14ac:dyDescent="0.2">
      <c r="B3" s="174">
        <v>2025</v>
      </c>
      <c r="G3" s="216" t="s">
        <v>55</v>
      </c>
      <c r="H3" s="217" t="s">
        <v>55</v>
      </c>
    </row>
    <row r="4" spans="1:9" x14ac:dyDescent="0.2">
      <c r="D4" s="174" t="s">
        <v>228</v>
      </c>
      <c r="E4" s="174" t="s">
        <v>229</v>
      </c>
      <c r="G4" s="174" t="s">
        <v>228</v>
      </c>
      <c r="H4" s="174" t="s">
        <v>229</v>
      </c>
    </row>
    <row r="5" spans="1:9" x14ac:dyDescent="0.2">
      <c r="A5" s="174" t="s">
        <v>230</v>
      </c>
      <c r="B5" s="174" t="s">
        <v>258</v>
      </c>
      <c r="C5" s="174" t="s">
        <v>259</v>
      </c>
      <c r="D5" s="236">
        <v>0</v>
      </c>
      <c r="E5" s="236">
        <v>1737672733.73</v>
      </c>
      <c r="H5" s="200">
        <f>E5/G$2</f>
        <v>1002214.4191889728</v>
      </c>
    </row>
    <row r="6" spans="1:9" x14ac:dyDescent="0.2">
      <c r="A6" s="174" t="s">
        <v>231</v>
      </c>
      <c r="B6" s="174" t="s">
        <v>258</v>
      </c>
      <c r="C6" s="174" t="s">
        <v>259</v>
      </c>
      <c r="D6" s="236">
        <v>0</v>
      </c>
      <c r="E6" s="236">
        <v>4102734.98</v>
      </c>
      <c r="H6" s="200">
        <f>E6/G$2</f>
        <v>2366.2799532111881</v>
      </c>
      <c r="I6" s="208">
        <f>H5+H6</f>
        <v>1004580.699142184</v>
      </c>
    </row>
    <row r="7" spans="1:9" x14ac:dyDescent="0.2">
      <c r="A7" s="174" t="s">
        <v>260</v>
      </c>
      <c r="B7" s="174" t="s">
        <v>258</v>
      </c>
      <c r="C7" s="174" t="s">
        <v>259</v>
      </c>
      <c r="D7" s="236">
        <v>183983939.96000001</v>
      </c>
      <c r="E7" s="236">
        <v>0</v>
      </c>
      <c r="G7" s="200">
        <f t="shared" ref="G7:G40" si="0">D7/G$2</f>
        <v>106113.9729869071</v>
      </c>
      <c r="H7" s="200">
        <f>E7/G$2</f>
        <v>0</v>
      </c>
    </row>
    <row r="8" spans="1:9" x14ac:dyDescent="0.2">
      <c r="A8" s="174" t="s">
        <v>261</v>
      </c>
      <c r="B8" s="174" t="s">
        <v>258</v>
      </c>
      <c r="C8" s="174" t="s">
        <v>259</v>
      </c>
      <c r="D8" s="236">
        <v>36417658.07</v>
      </c>
      <c r="E8" s="236">
        <v>0</v>
      </c>
      <c r="G8" s="200">
        <f t="shared" si="0"/>
        <v>21004.128868674976</v>
      </c>
    </row>
    <row r="9" spans="1:9" x14ac:dyDescent="0.2">
      <c r="A9" s="174" t="s">
        <v>262</v>
      </c>
      <c r="B9" s="174" t="s">
        <v>258</v>
      </c>
      <c r="C9" s="174" t="s">
        <v>259</v>
      </c>
      <c r="D9" s="236">
        <v>26760610</v>
      </c>
      <c r="E9" s="236">
        <v>0</v>
      </c>
      <c r="G9" s="200">
        <f t="shared" si="0"/>
        <v>15434.361538678488</v>
      </c>
    </row>
    <row r="10" spans="1:9" x14ac:dyDescent="0.2">
      <c r="A10" s="174" t="s">
        <v>232</v>
      </c>
      <c r="B10" s="174" t="s">
        <v>258</v>
      </c>
      <c r="C10" s="174" t="s">
        <v>259</v>
      </c>
      <c r="D10" s="236">
        <v>5008259.28</v>
      </c>
      <c r="E10" s="236">
        <v>0</v>
      </c>
      <c r="G10" s="200">
        <f t="shared" si="0"/>
        <v>2888.5471746332246</v>
      </c>
    </row>
    <row r="11" spans="1:9" x14ac:dyDescent="0.2">
      <c r="A11" s="174" t="s">
        <v>263</v>
      </c>
      <c r="B11" s="174" t="s">
        <v>258</v>
      </c>
      <c r="C11" s="174" t="s">
        <v>259</v>
      </c>
      <c r="D11" s="236">
        <v>20086344</v>
      </c>
      <c r="E11" s="236">
        <v>0</v>
      </c>
      <c r="G11" s="200">
        <f t="shared" si="0"/>
        <v>11584.933799575772</v>
      </c>
    </row>
    <row r="12" spans="1:9" x14ac:dyDescent="0.2">
      <c r="A12" s="174" t="s">
        <v>233</v>
      </c>
      <c r="B12" s="174" t="s">
        <v>258</v>
      </c>
      <c r="C12" s="174" t="s">
        <v>259</v>
      </c>
      <c r="D12" s="236">
        <v>980386.23</v>
      </c>
      <c r="E12" s="236">
        <v>0</v>
      </c>
      <c r="G12" s="200">
        <f t="shared" si="0"/>
        <v>565.44434231364687</v>
      </c>
    </row>
    <row r="13" spans="1:9" x14ac:dyDescent="0.2">
      <c r="A13" s="174" t="s">
        <v>234</v>
      </c>
      <c r="B13" s="174" t="s">
        <v>258</v>
      </c>
      <c r="C13" s="174" t="s">
        <v>259</v>
      </c>
      <c r="D13" s="236">
        <v>37040856.710000001</v>
      </c>
      <c r="E13" s="236">
        <v>0</v>
      </c>
      <c r="G13" s="200">
        <f t="shared" si="0"/>
        <v>21363.562869625355</v>
      </c>
    </row>
    <row r="14" spans="1:9" x14ac:dyDescent="0.2">
      <c r="A14" s="174" t="s">
        <v>235</v>
      </c>
      <c r="B14" s="174" t="s">
        <v>258</v>
      </c>
      <c r="C14" s="174" t="s">
        <v>259</v>
      </c>
      <c r="D14" s="236">
        <v>3147330</v>
      </c>
      <c r="E14" s="236">
        <v>0</v>
      </c>
      <c r="G14" s="200">
        <f t="shared" si="0"/>
        <v>1815.2437146062427</v>
      </c>
    </row>
    <row r="15" spans="1:9" x14ac:dyDescent="0.2">
      <c r="A15" s="174" t="s">
        <v>236</v>
      </c>
      <c r="B15" s="174" t="s">
        <v>258</v>
      </c>
      <c r="C15" s="174" t="s">
        <v>259</v>
      </c>
      <c r="D15" s="236">
        <v>27464290</v>
      </c>
      <c r="E15" s="236">
        <v>0</v>
      </c>
      <c r="G15" s="200">
        <f t="shared" si="0"/>
        <v>15840.213704512424</v>
      </c>
    </row>
    <row r="16" spans="1:9" x14ac:dyDescent="0.2">
      <c r="A16" s="174" t="s">
        <v>237</v>
      </c>
      <c r="B16" s="174" t="s">
        <v>258</v>
      </c>
      <c r="C16" s="174" t="s">
        <v>259</v>
      </c>
      <c r="D16" s="236">
        <v>17617789.09</v>
      </c>
      <c r="E16" s="236">
        <v>0</v>
      </c>
      <c r="G16" s="200">
        <f t="shared" si="0"/>
        <v>10161.178176702455</v>
      </c>
    </row>
    <row r="17" spans="1:8" x14ac:dyDescent="0.2">
      <c r="A17" s="174" t="s">
        <v>264</v>
      </c>
      <c r="B17" s="174" t="s">
        <v>258</v>
      </c>
      <c r="C17" s="174" t="s">
        <v>259</v>
      </c>
      <c r="D17" s="236">
        <v>2048940</v>
      </c>
      <c r="E17" s="236">
        <v>0</v>
      </c>
      <c r="G17" s="200">
        <f t="shared" si="0"/>
        <v>1181.7399054453506</v>
      </c>
    </row>
    <row r="18" spans="1:8" x14ac:dyDescent="0.2">
      <c r="A18" s="174" t="s">
        <v>265</v>
      </c>
      <c r="B18" s="174" t="s">
        <v>258</v>
      </c>
      <c r="C18" s="174" t="s">
        <v>259</v>
      </c>
      <c r="D18" s="236">
        <v>250000</v>
      </c>
      <c r="E18" s="236">
        <v>0</v>
      </c>
      <c r="G18" s="200">
        <f t="shared" si="0"/>
        <v>144.18917897124251</v>
      </c>
    </row>
    <row r="19" spans="1:8" x14ac:dyDescent="0.2">
      <c r="A19" s="174" t="s">
        <v>238</v>
      </c>
      <c r="B19" s="174" t="s">
        <v>258</v>
      </c>
      <c r="C19" s="174" t="s">
        <v>259</v>
      </c>
      <c r="D19" s="236">
        <v>800000</v>
      </c>
      <c r="E19" s="236">
        <v>0</v>
      </c>
      <c r="G19" s="200">
        <f t="shared" si="0"/>
        <v>461.40537270797603</v>
      </c>
    </row>
    <row r="20" spans="1:8" x14ac:dyDescent="0.2">
      <c r="A20" s="174" t="s">
        <v>239</v>
      </c>
      <c r="B20" s="174" t="s">
        <v>258</v>
      </c>
      <c r="C20" s="174" t="s">
        <v>259</v>
      </c>
      <c r="D20" s="236">
        <v>500000</v>
      </c>
      <c r="E20" s="236">
        <v>0</v>
      </c>
      <c r="G20" s="200">
        <f t="shared" si="0"/>
        <v>288.37835794248502</v>
      </c>
    </row>
    <row r="21" spans="1:8" x14ac:dyDescent="0.2">
      <c r="A21" s="174" t="s">
        <v>240</v>
      </c>
      <c r="B21" s="174" t="s">
        <v>258</v>
      </c>
      <c r="C21" s="174" t="s">
        <v>259</v>
      </c>
      <c r="D21" s="236">
        <v>19065854.510000002</v>
      </c>
      <c r="E21" s="236">
        <v>0</v>
      </c>
      <c r="G21" s="200">
        <f t="shared" si="0"/>
        <v>10996.359632728245</v>
      </c>
    </row>
    <row r="22" spans="1:8" x14ac:dyDescent="0.2">
      <c r="A22" s="174" t="s">
        <v>241</v>
      </c>
      <c r="B22" s="174" t="s">
        <v>258</v>
      </c>
      <c r="C22" s="174" t="s">
        <v>259</v>
      </c>
      <c r="D22" s="236">
        <v>8290306.0999999996</v>
      </c>
      <c r="E22" s="236">
        <v>0</v>
      </c>
      <c r="G22" s="200">
        <f t="shared" si="0"/>
        <v>4781.4897199171337</v>
      </c>
      <c r="H22" s="200">
        <f>E22/G$2</f>
        <v>0</v>
      </c>
    </row>
    <row r="23" spans="1:8" x14ac:dyDescent="0.2">
      <c r="A23" s="174" t="s">
        <v>242</v>
      </c>
      <c r="B23" s="174" t="s">
        <v>258</v>
      </c>
      <c r="C23" s="174" t="s">
        <v>259</v>
      </c>
      <c r="D23" s="236">
        <v>18971194.66</v>
      </c>
      <c r="E23" s="236">
        <v>0</v>
      </c>
      <c r="G23" s="200">
        <f t="shared" si="0"/>
        <v>10941.76392851608</v>
      </c>
    </row>
    <row r="24" spans="1:8" x14ac:dyDescent="0.2">
      <c r="A24" s="174" t="s">
        <v>243</v>
      </c>
      <c r="B24" s="174" t="s">
        <v>258</v>
      </c>
      <c r="C24" s="174" t="s">
        <v>259</v>
      </c>
      <c r="D24" s="236">
        <v>132972395.36</v>
      </c>
      <c r="E24" s="236">
        <v>0</v>
      </c>
      <c r="G24" s="200">
        <f t="shared" si="0"/>
        <v>76692.72205119142</v>
      </c>
    </row>
    <row r="25" spans="1:8" x14ac:dyDescent="0.2">
      <c r="A25" s="174" t="s">
        <v>244</v>
      </c>
      <c r="B25" s="174" t="s">
        <v>258</v>
      </c>
      <c r="C25" s="174" t="s">
        <v>259</v>
      </c>
      <c r="D25" s="236">
        <v>62859453.18</v>
      </c>
      <c r="E25" s="236">
        <v>0</v>
      </c>
      <c r="G25" s="200">
        <f t="shared" si="0"/>
        <v>36254.611778421837</v>
      </c>
    </row>
    <row r="26" spans="1:8" x14ac:dyDescent="0.2">
      <c r="A26" s="174" t="s">
        <v>245</v>
      </c>
      <c r="B26" s="174" t="s">
        <v>258</v>
      </c>
      <c r="C26" s="174" t="s">
        <v>259</v>
      </c>
      <c r="D26" s="236">
        <v>3263000</v>
      </c>
      <c r="E26" s="236">
        <v>0</v>
      </c>
      <c r="G26" s="200">
        <f t="shared" si="0"/>
        <v>1881.9571639326573</v>
      </c>
    </row>
    <row r="27" spans="1:8" x14ac:dyDescent="0.2">
      <c r="A27" s="174" t="s">
        <v>266</v>
      </c>
      <c r="B27" s="174" t="s">
        <v>258</v>
      </c>
      <c r="C27" s="174" t="s">
        <v>259</v>
      </c>
      <c r="D27" s="236">
        <v>1594450.89</v>
      </c>
      <c r="E27" s="236">
        <v>0</v>
      </c>
      <c r="G27" s="200">
        <f t="shared" si="0"/>
        <v>919.61025895626756</v>
      </c>
    </row>
    <row r="28" spans="1:8" x14ac:dyDescent="0.2">
      <c r="A28" s="174" t="s">
        <v>267</v>
      </c>
      <c r="B28" s="174" t="s">
        <v>258</v>
      </c>
      <c r="C28" s="174" t="s">
        <v>259</v>
      </c>
      <c r="D28" s="236">
        <v>579858.99</v>
      </c>
      <c r="E28" s="236">
        <v>0</v>
      </c>
      <c r="G28" s="200">
        <f t="shared" si="0"/>
        <v>334.43756674877568</v>
      </c>
    </row>
    <row r="29" spans="1:8" x14ac:dyDescent="0.2">
      <c r="A29" s="174" t="s">
        <v>246</v>
      </c>
      <c r="B29" s="174" t="s">
        <v>258</v>
      </c>
      <c r="C29" s="174" t="s">
        <v>259</v>
      </c>
      <c r="D29" s="236">
        <v>45841.5</v>
      </c>
      <c r="E29" s="236">
        <v>0</v>
      </c>
      <c r="G29" s="200">
        <f t="shared" si="0"/>
        <v>26.439392991240855</v>
      </c>
    </row>
    <row r="30" spans="1:8" x14ac:dyDescent="0.2">
      <c r="A30" s="174" t="s">
        <v>247</v>
      </c>
      <c r="B30" s="174" t="s">
        <v>258</v>
      </c>
      <c r="C30" s="174" t="s">
        <v>259</v>
      </c>
      <c r="D30" s="236">
        <v>28057753.32</v>
      </c>
      <c r="E30" s="236">
        <v>0</v>
      </c>
      <c r="G30" s="200">
        <f t="shared" si="0"/>
        <v>16182.497659953815</v>
      </c>
    </row>
    <row r="31" spans="1:8" x14ac:dyDescent="0.2">
      <c r="A31" s="174" t="s">
        <v>248</v>
      </c>
      <c r="B31" s="174" t="s">
        <v>258</v>
      </c>
      <c r="C31" s="174" t="s">
        <v>259</v>
      </c>
      <c r="D31" s="236">
        <v>5375999.79</v>
      </c>
      <c r="E31" s="236">
        <v>0</v>
      </c>
      <c r="G31" s="200">
        <f t="shared" si="0"/>
        <v>3100.6439834786884</v>
      </c>
    </row>
    <row r="32" spans="1:8" x14ac:dyDescent="0.2">
      <c r="A32" s="174" t="s">
        <v>268</v>
      </c>
      <c r="B32" s="174" t="s">
        <v>258</v>
      </c>
      <c r="C32" s="174" t="s">
        <v>259</v>
      </c>
      <c r="D32" s="236">
        <v>11841975</v>
      </c>
      <c r="E32" s="236">
        <v>0</v>
      </c>
      <c r="G32" s="200">
        <f t="shared" si="0"/>
        <v>6829.9386105919175</v>
      </c>
    </row>
    <row r="33" spans="1:9" x14ac:dyDescent="0.2">
      <c r="A33" s="174" t="s">
        <v>269</v>
      </c>
      <c r="B33" s="174" t="s">
        <v>258</v>
      </c>
      <c r="C33" s="174" t="s">
        <v>259</v>
      </c>
      <c r="D33" s="236">
        <v>16924651.239999998</v>
      </c>
      <c r="E33" s="236">
        <v>0</v>
      </c>
      <c r="G33" s="200">
        <f t="shared" si="0"/>
        <v>9761.4062666808841</v>
      </c>
      <c r="I33" s="208">
        <f>SUM(G7:G33)</f>
        <v>387551.17800540576</v>
      </c>
    </row>
    <row r="34" spans="1:9" x14ac:dyDescent="0.2">
      <c r="A34" s="174" t="s">
        <v>270</v>
      </c>
      <c r="B34" s="174" t="s">
        <v>258</v>
      </c>
      <c r="C34" s="174" t="s">
        <v>259</v>
      </c>
      <c r="D34" s="236">
        <v>168120000</v>
      </c>
      <c r="E34" s="236">
        <v>0</v>
      </c>
      <c r="G34" s="200">
        <f t="shared" si="0"/>
        <v>96964.339074581163</v>
      </c>
    </row>
    <row r="35" spans="1:9" x14ac:dyDescent="0.2">
      <c r="A35" s="174" t="s">
        <v>271</v>
      </c>
      <c r="B35" s="174" t="s">
        <v>258</v>
      </c>
      <c r="C35" s="174" t="s">
        <v>259</v>
      </c>
      <c r="D35" s="236">
        <v>499324033.06999999</v>
      </c>
      <c r="E35" s="236">
        <v>0</v>
      </c>
      <c r="G35" s="200">
        <f t="shared" si="0"/>
        <v>287988.48947589134</v>
      </c>
    </row>
    <row r="36" spans="1:9" x14ac:dyDescent="0.2">
      <c r="A36" s="174" t="s">
        <v>272</v>
      </c>
      <c r="B36" s="174" t="s">
        <v>258</v>
      </c>
      <c r="C36" s="174" t="s">
        <v>259</v>
      </c>
      <c r="D36" s="236">
        <v>5767375</v>
      </c>
      <c r="E36" s="236">
        <v>0</v>
      </c>
      <c r="G36" s="200">
        <f t="shared" si="0"/>
        <v>3326.372264277079</v>
      </c>
    </row>
    <row r="37" spans="1:9" x14ac:dyDescent="0.2">
      <c r="A37" s="174" t="s">
        <v>273</v>
      </c>
      <c r="B37" s="174" t="s">
        <v>258</v>
      </c>
      <c r="C37" s="174" t="s">
        <v>259</v>
      </c>
      <c r="D37" s="236">
        <v>35001241.380000003</v>
      </c>
      <c r="E37" s="236">
        <v>0</v>
      </c>
      <c r="G37" s="200">
        <f t="shared" si="0"/>
        <v>20187.201030225919</v>
      </c>
    </row>
    <row r="38" spans="1:9" x14ac:dyDescent="0.2">
      <c r="A38" s="174" t="s">
        <v>274</v>
      </c>
      <c r="B38" s="174" t="s">
        <v>258</v>
      </c>
      <c r="C38" s="174" t="s">
        <v>259</v>
      </c>
      <c r="D38" s="236">
        <v>145248552.71000001</v>
      </c>
      <c r="E38" s="236">
        <v>0</v>
      </c>
      <c r="G38" s="200">
        <f t="shared" si="0"/>
        <v>83773.078248064572</v>
      </c>
    </row>
    <row r="39" spans="1:9" x14ac:dyDescent="0.2">
      <c r="A39" s="174" t="s">
        <v>275</v>
      </c>
      <c r="B39" s="174" t="s">
        <v>258</v>
      </c>
      <c r="C39" s="174" t="s">
        <v>259</v>
      </c>
      <c r="D39" s="236">
        <v>24428150.120000001</v>
      </c>
      <c r="E39" s="236">
        <v>0</v>
      </c>
      <c r="G39" s="200">
        <f t="shared" si="0"/>
        <v>14089.099638356238</v>
      </c>
    </row>
    <row r="40" spans="1:9" x14ac:dyDescent="0.2">
      <c r="A40" s="174" t="s">
        <v>276</v>
      </c>
      <c r="B40" s="174" t="s">
        <v>258</v>
      </c>
      <c r="C40" s="174" t="s">
        <v>259</v>
      </c>
      <c r="D40" s="236">
        <v>11829000</v>
      </c>
      <c r="E40" s="236">
        <v>0</v>
      </c>
      <c r="G40" s="200">
        <f t="shared" si="0"/>
        <v>6822.4551922033106</v>
      </c>
    </row>
    <row r="41" spans="1:9" x14ac:dyDescent="0.2">
      <c r="A41" s="174" t="s">
        <v>277</v>
      </c>
      <c r="B41" s="174" t="s">
        <v>258</v>
      </c>
      <c r="C41" s="174" t="s">
        <v>259</v>
      </c>
      <c r="D41" s="236">
        <v>0</v>
      </c>
      <c r="E41" s="236">
        <v>78739505.989999995</v>
      </c>
      <c r="G41" s="200"/>
      <c r="H41" s="200">
        <f t="shared" ref="H41:H52" si="1">E41/G$2</f>
        <v>45413.538885197326</v>
      </c>
    </row>
    <row r="42" spans="1:9" x14ac:dyDescent="0.2">
      <c r="A42" s="174" t="s">
        <v>278</v>
      </c>
      <c r="B42" s="174" t="s">
        <v>258</v>
      </c>
      <c r="C42" s="174" t="s">
        <v>259</v>
      </c>
      <c r="D42" s="236">
        <v>0</v>
      </c>
      <c r="E42" s="236">
        <v>5767375</v>
      </c>
      <c r="H42" s="200">
        <f t="shared" si="1"/>
        <v>3326.372264277079</v>
      </c>
    </row>
    <row r="43" spans="1:9" x14ac:dyDescent="0.2">
      <c r="A43" s="174" t="s">
        <v>279</v>
      </c>
      <c r="B43" s="174" t="s">
        <v>258</v>
      </c>
      <c r="C43" s="174" t="s">
        <v>259</v>
      </c>
      <c r="D43" s="236">
        <v>0</v>
      </c>
      <c r="E43" s="236">
        <v>28649210.18</v>
      </c>
      <c r="H43" s="200">
        <f t="shared" si="1"/>
        <v>16523.624376115051</v>
      </c>
    </row>
    <row r="44" spans="1:9" ht="12.75" customHeight="1" x14ac:dyDescent="0.2">
      <c r="A44" s="174" t="s">
        <v>280</v>
      </c>
      <c r="B44" s="174" t="s">
        <v>258</v>
      </c>
      <c r="C44" s="174" t="s">
        <v>259</v>
      </c>
      <c r="D44" s="236">
        <v>0</v>
      </c>
      <c r="E44" s="236">
        <v>120708400.95999999</v>
      </c>
      <c r="G44" s="200"/>
      <c r="H44" s="200">
        <f t="shared" si="1"/>
        <v>69619.380917415765</v>
      </c>
    </row>
    <row r="45" spans="1:9" x14ac:dyDescent="0.2">
      <c r="A45" s="174" t="s">
        <v>281</v>
      </c>
      <c r="B45" s="174" t="s">
        <v>258</v>
      </c>
      <c r="C45" s="174" t="s">
        <v>259</v>
      </c>
      <c r="D45" s="236">
        <v>0</v>
      </c>
      <c r="E45" s="236">
        <v>18332055.079999998</v>
      </c>
      <c r="H45" s="200">
        <f t="shared" si="1"/>
        <v>10573.13588336318</v>
      </c>
    </row>
    <row r="46" spans="1:9" x14ac:dyDescent="0.2">
      <c r="A46" s="174" t="s">
        <v>282</v>
      </c>
      <c r="B46" s="174" t="s">
        <v>258</v>
      </c>
      <c r="C46" s="174" t="s">
        <v>259</v>
      </c>
      <c r="D46" s="236">
        <v>0</v>
      </c>
      <c r="E46" s="236">
        <v>11829000</v>
      </c>
      <c r="H46" s="200">
        <f t="shared" si="1"/>
        <v>6822.4551922033106</v>
      </c>
    </row>
    <row r="47" spans="1:9" x14ac:dyDescent="0.2">
      <c r="A47" s="174" t="s">
        <v>283</v>
      </c>
      <c r="B47" s="174" t="s">
        <v>258</v>
      </c>
      <c r="C47" s="174" t="s">
        <v>259</v>
      </c>
      <c r="D47" s="236">
        <v>0</v>
      </c>
      <c r="E47" s="236">
        <v>41341740.960000001</v>
      </c>
      <c r="H47" s="200">
        <f t="shared" si="1"/>
        <v>23844.126745056747</v>
      </c>
    </row>
    <row r="48" spans="1:9" x14ac:dyDescent="0.2">
      <c r="A48" s="174" t="s">
        <v>249</v>
      </c>
      <c r="B48" s="174" t="s">
        <v>258</v>
      </c>
      <c r="C48" s="174" t="s">
        <v>259</v>
      </c>
      <c r="D48" s="236">
        <v>75360280.069999993</v>
      </c>
      <c r="E48" s="236">
        <v>0</v>
      </c>
      <c r="G48" s="200">
        <f>D48/G$2</f>
        <v>43464.547641344754</v>
      </c>
    </row>
    <row r="49" spans="1:9" x14ac:dyDescent="0.2">
      <c r="A49" s="174" t="s">
        <v>250</v>
      </c>
      <c r="B49" s="174" t="s">
        <v>258</v>
      </c>
      <c r="C49" s="174" t="s">
        <v>259</v>
      </c>
      <c r="D49" s="236">
        <v>0</v>
      </c>
      <c r="E49" s="236">
        <v>691885</v>
      </c>
      <c r="G49" s="200">
        <f>D49/G$2</f>
        <v>0</v>
      </c>
      <c r="H49" s="200">
        <f t="shared" si="1"/>
        <v>399.04932037007251</v>
      </c>
    </row>
    <row r="50" spans="1:9" x14ac:dyDescent="0.2">
      <c r="A50" s="238" t="s">
        <v>284</v>
      </c>
      <c r="B50" s="238" t="s">
        <v>258</v>
      </c>
      <c r="C50" s="238" t="s">
        <v>259</v>
      </c>
      <c r="D50" s="239">
        <v>0</v>
      </c>
      <c r="E50" s="239">
        <v>12773449.720000001</v>
      </c>
      <c r="F50" s="238"/>
      <c r="G50" s="238"/>
      <c r="H50" s="240">
        <f>E50/G$2</f>
        <v>7367.1729110289907</v>
      </c>
    </row>
    <row r="51" spans="1:9" x14ac:dyDescent="0.2">
      <c r="A51" s="238" t="s">
        <v>303</v>
      </c>
      <c r="B51" s="238" t="s">
        <v>258</v>
      </c>
      <c r="C51" s="238" t="s">
        <v>259</v>
      </c>
      <c r="D51" s="239">
        <v>50530719.789999999</v>
      </c>
      <c r="E51" s="239">
        <v>0</v>
      </c>
      <c r="F51" s="238"/>
      <c r="G51" s="240">
        <f>D51/G$2</f>
        <v>29143.931997384061</v>
      </c>
      <c r="H51" s="240">
        <f t="shared" si="1"/>
        <v>0</v>
      </c>
    </row>
    <row r="52" spans="1:9" x14ac:dyDescent="0.2">
      <c r="A52" s="238" t="s">
        <v>285</v>
      </c>
      <c r="B52" s="238" t="s">
        <v>258</v>
      </c>
      <c r="C52" s="238" t="s">
        <v>259</v>
      </c>
      <c r="D52" s="239">
        <v>1014292.48</v>
      </c>
      <c r="E52" s="239">
        <v>0</v>
      </c>
      <c r="F52" s="238"/>
      <c r="G52" s="240">
        <f>D52/G$2</f>
        <v>584.99999971162163</v>
      </c>
      <c r="H52" s="240">
        <f t="shared" si="1"/>
        <v>0</v>
      </c>
    </row>
    <row r="53" spans="1:9" x14ac:dyDescent="0.2">
      <c r="A53" s="238" t="s">
        <v>251</v>
      </c>
      <c r="B53" s="238" t="s">
        <v>258</v>
      </c>
      <c r="C53" s="238" t="s">
        <v>259</v>
      </c>
      <c r="D53" s="239">
        <v>1382741467.02</v>
      </c>
      <c r="E53" s="239">
        <v>0</v>
      </c>
      <c r="F53" s="238"/>
      <c r="G53" s="240">
        <f>D53/G$2</f>
        <v>797505.42743642081</v>
      </c>
      <c r="H53" s="240">
        <f>E53/G$2</f>
        <v>0</v>
      </c>
    </row>
    <row r="54" spans="1:9" x14ac:dyDescent="0.2">
      <c r="A54" s="238" t="s">
        <v>252</v>
      </c>
      <c r="B54" s="238" t="s">
        <v>258</v>
      </c>
      <c r="C54" s="238" t="s">
        <v>259</v>
      </c>
      <c r="D54" s="239">
        <v>0</v>
      </c>
      <c r="E54" s="239">
        <v>57033074.729999997</v>
      </c>
      <c r="F54" s="238"/>
      <c r="G54" s="238"/>
      <c r="H54" s="240">
        <f>E54/G$2</f>
        <v>32894.20887809687</v>
      </c>
      <c r="I54" s="208">
        <f>G51+G52+G53-H50-H54</f>
        <v>786972.97764439066</v>
      </c>
    </row>
    <row r="55" spans="1:9" x14ac:dyDescent="0.2">
      <c r="A55" s="174" t="s">
        <v>286</v>
      </c>
      <c r="B55" s="174" t="s">
        <v>258</v>
      </c>
      <c r="C55" s="174" t="s">
        <v>259</v>
      </c>
      <c r="D55" s="236">
        <v>0</v>
      </c>
      <c r="E55" s="236">
        <v>7901051</v>
      </c>
      <c r="G55" s="200">
        <f>D55/G$2</f>
        <v>0</v>
      </c>
      <c r="H55" s="200">
        <f t="shared" ref="H55" si="2">E55/G$2</f>
        <v>4556.9842267996582</v>
      </c>
    </row>
    <row r="56" spans="1:9" x14ac:dyDescent="0.2">
      <c r="A56" s="174" t="s">
        <v>287</v>
      </c>
      <c r="B56" s="174" t="s">
        <v>258</v>
      </c>
      <c r="C56" s="174" t="s">
        <v>259</v>
      </c>
      <c r="D56" s="236">
        <v>12773449.720000001</v>
      </c>
      <c r="E56" s="236">
        <v>0</v>
      </c>
      <c r="G56" s="200">
        <f>D56/G$2</f>
        <v>7367.1729110289907</v>
      </c>
    </row>
    <row r="57" spans="1:9" x14ac:dyDescent="0.2">
      <c r="A57" s="174" t="s">
        <v>288</v>
      </c>
      <c r="B57" s="174" t="s">
        <v>258</v>
      </c>
      <c r="C57" s="174" t="s">
        <v>259</v>
      </c>
      <c r="D57" s="236">
        <v>114422967</v>
      </c>
      <c r="E57" s="236">
        <v>0</v>
      </c>
      <c r="G57" s="200">
        <f>D57/G$2</f>
        <v>65994.214668734305</v>
      </c>
    </row>
    <row r="58" spans="1:9" x14ac:dyDescent="0.2">
      <c r="A58" s="174" t="s">
        <v>289</v>
      </c>
      <c r="B58" s="174" t="s">
        <v>258</v>
      </c>
      <c r="C58" s="174" t="s">
        <v>259</v>
      </c>
      <c r="D58" s="236">
        <v>45620765.390000001</v>
      </c>
      <c r="E58" s="236">
        <v>0</v>
      </c>
      <c r="G58" s="200">
        <f>D58/G$2</f>
        <v>26312.082822495104</v>
      </c>
      <c r="H58" s="200">
        <f>E58/G$2</f>
        <v>0</v>
      </c>
    </row>
    <row r="59" spans="1:9" x14ac:dyDescent="0.2">
      <c r="A59" s="174" t="s">
        <v>253</v>
      </c>
      <c r="B59" s="174" t="s">
        <v>258</v>
      </c>
      <c r="C59" s="174" t="s">
        <v>259</v>
      </c>
      <c r="D59" s="236">
        <v>0</v>
      </c>
      <c r="E59" s="236">
        <v>15088387.08</v>
      </c>
      <c r="H59" s="200">
        <f>E59/G$2</f>
        <v>8702.3285802620121</v>
      </c>
    </row>
    <row r="60" spans="1:9" x14ac:dyDescent="0.2">
      <c r="A60" s="174" t="s">
        <v>290</v>
      </c>
      <c r="B60" s="174" t="s">
        <v>258</v>
      </c>
      <c r="C60" s="174" t="s">
        <v>259</v>
      </c>
      <c r="D60" s="236">
        <v>0</v>
      </c>
      <c r="E60" s="236">
        <v>1580992.89</v>
      </c>
      <c r="H60" s="200">
        <f>E60/G$2</f>
        <v>911.84826707388765</v>
      </c>
    </row>
    <row r="61" spans="1:9" x14ac:dyDescent="0.2">
      <c r="A61" s="174" t="s">
        <v>291</v>
      </c>
      <c r="B61" s="174" t="s">
        <v>258</v>
      </c>
      <c r="C61" s="174" t="s">
        <v>259</v>
      </c>
      <c r="D61" s="236">
        <v>0</v>
      </c>
      <c r="E61" s="236">
        <v>3639107.84</v>
      </c>
      <c r="G61" s="200">
        <f>D61/G$2</f>
        <v>0</v>
      </c>
      <c r="H61" s="200">
        <f t="shared" ref="H61" si="3">E61/G$2</f>
        <v>2098.8798865496469</v>
      </c>
    </row>
    <row r="62" spans="1:9" x14ac:dyDescent="0.2">
      <c r="A62" s="174" t="s">
        <v>292</v>
      </c>
      <c r="B62" s="174" t="s">
        <v>258</v>
      </c>
      <c r="C62" s="174" t="s">
        <v>259</v>
      </c>
      <c r="D62" s="236">
        <v>3518300</v>
      </c>
      <c r="E62" s="236">
        <v>0</v>
      </c>
      <c r="G62" s="200">
        <f>D62/G$2</f>
        <v>2029.2031534980899</v>
      </c>
      <c r="H62" s="200">
        <f>E62/G$2</f>
        <v>0</v>
      </c>
    </row>
    <row r="63" spans="1:9" x14ac:dyDescent="0.2">
      <c r="A63" s="174" t="s">
        <v>293</v>
      </c>
      <c r="B63" s="174" t="s">
        <v>258</v>
      </c>
      <c r="C63" s="174" t="s">
        <v>259</v>
      </c>
      <c r="D63" s="236">
        <v>0</v>
      </c>
      <c r="E63" s="236">
        <v>464772571.02999997</v>
      </c>
      <c r="H63" s="200">
        <f>E63/G$2</f>
        <v>268060.70170067676</v>
      </c>
    </row>
    <row r="64" spans="1:9" x14ac:dyDescent="0.2">
      <c r="A64" s="174" t="s">
        <v>254</v>
      </c>
      <c r="B64" s="174" t="s">
        <v>258</v>
      </c>
      <c r="C64" s="174" t="s">
        <v>259</v>
      </c>
      <c r="D64" s="236">
        <v>0</v>
      </c>
      <c r="E64" s="236">
        <f>237169219.95+222012350.23</f>
        <v>459181570.17999995</v>
      </c>
      <c r="H64" s="200">
        <f>E64/G$2</f>
        <v>264836.05441192066</v>
      </c>
    </row>
    <row r="65" spans="1:9" x14ac:dyDescent="0.2">
      <c r="A65" s="174" t="s">
        <v>294</v>
      </c>
      <c r="B65" s="174" t="s">
        <v>258</v>
      </c>
      <c r="C65" s="174" t="s">
        <v>259</v>
      </c>
      <c r="D65" s="236">
        <v>0</v>
      </c>
      <c r="E65" s="236">
        <v>177844885.28</v>
      </c>
      <c r="H65" s="200">
        <f>E65/G$2</f>
        <v>102573.23197103204</v>
      </c>
    </row>
    <row r="66" spans="1:9" x14ac:dyDescent="0.2">
      <c r="B66" s="236"/>
      <c r="C66" s="237"/>
      <c r="D66" s="236">
        <f>SUM(D5:D65)</f>
        <v>3247649731.6299996</v>
      </c>
      <c r="E66" s="236">
        <f>SUM(E5:E65)</f>
        <v>3247649731.6300001</v>
      </c>
      <c r="G66" s="236">
        <f>SUM(G5:G65)</f>
        <v>1873103.7935596232</v>
      </c>
      <c r="H66" s="236">
        <f>SUM(H5:H65)</f>
        <v>1873103.7935596232</v>
      </c>
      <c r="I66" s="208">
        <f>I6-I33</f>
        <v>617029.52113677817</v>
      </c>
    </row>
    <row r="69" spans="1:9" x14ac:dyDescent="0.2">
      <c r="I69" s="20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Sources and Uses of Funds</vt:lpstr>
      <vt:lpstr>Uses of Funds as per PIM</vt:lpstr>
      <vt:lpstr>EEP Statement</vt:lpstr>
      <vt:lpstr>DLI Statement</vt:lpstr>
      <vt:lpstr>AWP</vt:lpstr>
      <vt:lpstr>March  2025 TB &amp; Financials</vt:lpstr>
    </vt:vector>
  </TitlesOfParts>
  <Company>TANROADS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Kalulu</cp:lastModifiedBy>
  <cp:lastPrinted>2024-10-07T07:00:11Z</cp:lastPrinted>
  <dcterms:created xsi:type="dcterms:W3CDTF">2007-11-21T06:38:14Z</dcterms:created>
  <dcterms:modified xsi:type="dcterms:W3CDTF">2025-05-13T14:31:48Z</dcterms:modified>
</cp:coreProperties>
</file>